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tsn.tno.nl\Data\sv\sv-015068\TNO\Rapporten\2025\"/>
    </mc:Choice>
  </mc:AlternateContent>
  <xr:revisionPtr revIDLastSave="0" documentId="8_{DE15F1A3-C03B-499A-8C3B-97E6C8BA307B}" xr6:coauthVersionLast="47" xr6:coauthVersionMax="47" xr10:uidLastSave="{00000000-0000-0000-0000-000000000000}"/>
  <bookViews>
    <workbookView xWindow="-110" yWindow="-110" windowWidth="19420" windowHeight="10300" activeTab="6" xr2:uid="{65A9E797-391A-461B-B52A-CBE41057DB34}"/>
  </bookViews>
  <sheets>
    <sheet name="Readme" sheetId="7" r:id="rId1"/>
    <sheet name="Energy use" sheetId="1" r:id="rId2"/>
    <sheet name="Sheet1" sheetId="8" state="hidden" r:id="rId3"/>
    <sheet name="Appliance calculation methods" sheetId="5" state="hidden" r:id="rId4"/>
    <sheet name="EVs" sheetId="3" r:id="rId5"/>
    <sheet name="Home batteries" sheetId="4" r:id="rId6"/>
    <sheet name="Heat pumps" sheetId="6" r:id="rId7"/>
  </sheets>
  <definedNames>
    <definedName name="_xlnm._FilterDatabase" localSheetId="1" hidden="1">'Energy use'!$A$1:$AL$32</definedName>
    <definedName name="car_charge_from_network_kWh_km_high">EVs!$G$18</definedName>
    <definedName name="car_charge_from_network_kWh_km_low">EVs!$F$18</definedName>
    <definedName name="car_charge_from_network_per_km">EVs!$F$18:$G$18</definedName>
    <definedName name="car_consumption">EVs!$F$13:$G$13</definedName>
    <definedName name="car_consumption_high">EVs!$G$13</definedName>
    <definedName name="car_consumption_low" localSheetId="4">EVs!$F$13</definedName>
    <definedName name="car_Kilometrages" localSheetId="4">EVs!$F$4:$K$10</definedName>
    <definedName name="car_Kilometrages">#REF!</definedName>
    <definedName name="charger_efficiency">EVs!$F$17</definedName>
    <definedName name="charger_efficiency_dedicated_charger">EVs!$G$15</definedName>
    <definedName name="charger_efficiency_wall_plug">EVs!$F$15</definedName>
    <definedName name="days_per_year" localSheetId="4">EVs!$F$21:$K$21</definedName>
    <definedName name="days_per_year">#REF!</definedName>
    <definedName name="e_bike_consumption" localSheetId="4">EVs!$F$77</definedName>
    <definedName name="e_bike_consumption">#REF!</definedName>
    <definedName name="kilometrage_years" localSheetId="4">EVs!$F$3:$K$3</definedName>
    <definedName name="kilometrage_years">#REF!</definedName>
    <definedName name="kWh_per_day_car_per_type_average_high">EVs!$F$34:$K$34</definedName>
    <definedName name="kWh_per_day_car_per_type_average_low" localSheetId="4">EVs!$F$24:$K$24</definedName>
    <definedName name="kWh_per_day_car_per_type_FEV_high">EVs!$F$37:$K$37</definedName>
    <definedName name="kWh_per_day_car_per_type_FEV_low">EVs!$F$27:$K$27</definedName>
    <definedName name="kWh_per_day_car_per_type_gasoline_high">EVs!$F$35:$K$35</definedName>
    <definedName name="kWh_per_day_car_per_type_gasoline_low">EVs!$F$25:$K$25</definedName>
    <definedName name="kWh_per_day_car_per_type_high">EVs!$F$34:$K$40</definedName>
    <definedName name="kWh_per_day_car_per_type_low" localSheetId="4">EVs!$F$24:$K$30</definedName>
    <definedName name="percent_using_dedicated_charger">EVs!$G$16</definedName>
    <definedName name="percent_using_wall_plug">EVs!$F$16</definedName>
    <definedName name="selected_e_bike_kilometrages" localSheetId="4">EVs!$F$75:$H$75</definedName>
    <definedName name="Vehicle_types" localSheetId="4">EVs!$E$4:$E$10</definedName>
    <definedName name="Vehicle_typ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1" i="1" l="1"/>
  <c r="D31" i="1"/>
  <c r="L46" i="3"/>
  <c r="L45" i="3"/>
  <c r="M46" i="3"/>
  <c r="M45" i="3"/>
  <c r="L44" i="3"/>
  <c r="M44" i="3" s="1"/>
  <c r="L43" i="3"/>
  <c r="M43" i="3"/>
  <c r="E30" i="1"/>
  <c r="D30" i="1"/>
  <c r="D25" i="1"/>
  <c r="E24" i="1"/>
  <c r="E22" i="1"/>
  <c r="F80" i="3" a="1"/>
  <c r="F80" i="3" s="1"/>
  <c r="F31" i="3" a="1"/>
  <c r="F31" i="3" s="1"/>
  <c r="E26" i="1" l="1"/>
  <c r="E25" i="1"/>
  <c r="D26" i="1"/>
  <c r="F17" i="3"/>
  <c r="F18" i="3" s="1" a="1"/>
  <c r="E7" i="1"/>
  <c r="D7" i="1"/>
  <c r="D6" i="1"/>
  <c r="E6" i="1"/>
  <c r="E34" i="3" a="1"/>
  <c r="E34" i="3" s="1"/>
  <c r="F33" i="3" a="1"/>
  <c r="F33" i="3" s="1"/>
  <c r="F18" i="3" l="1"/>
  <c r="F34" i="3" a="1"/>
  <c r="F34" i="3" s="1"/>
  <c r="F48" i="3" s="1" a="1"/>
  <c r="F48" i="3" s="1"/>
  <c r="E28" i="1"/>
  <c r="D28" i="1"/>
  <c r="E27" i="1"/>
  <c r="D27" i="1"/>
  <c r="D24" i="1"/>
  <c r="E23" i="1"/>
  <c r="D23" i="1"/>
  <c r="D22" i="1"/>
  <c r="F24" i="3" l="1" a="1"/>
  <c r="F24" i="3" s="1"/>
  <c r="F46" i="3" a="1"/>
  <c r="F46" i="3" s="1"/>
  <c r="F44" i="3" a="1"/>
  <c r="F44" i="3" s="1"/>
  <c r="E3" i="1"/>
  <c r="D3" i="1"/>
  <c r="E2" i="1"/>
  <c r="D2" i="1"/>
  <c r="E4" i="1" l="1"/>
  <c r="E5" i="1"/>
  <c r="F42" i="3" a="1"/>
  <c r="F42" i="3" s="1"/>
  <c r="F47" i="3" a="1"/>
  <c r="F47" i="3" s="1"/>
  <c r="E24" i="3" a="1"/>
  <c r="E24" i="3" s="1"/>
  <c r="F23" i="3" a="1"/>
  <c r="F23" i="3" s="1"/>
  <c r="F77" i="3"/>
  <c r="F75" i="3"/>
  <c r="G75" i="3"/>
  <c r="H75" i="3"/>
  <c r="L64" i="3"/>
  <c r="L65" i="3" s="1"/>
  <c r="L66" i="3"/>
  <c r="L67" i="3"/>
  <c r="O68" i="3"/>
  <c r="N71" i="3"/>
  <c r="F45" i="3" l="1" a="1"/>
  <c r="F43" i="3" a="1"/>
  <c r="D18" i="1" l="1"/>
  <c r="E18" i="1"/>
  <c r="F43" i="3"/>
  <c r="D4" i="1"/>
  <c r="F45" i="3"/>
  <c r="D5"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<sst xmlns="http://schemas.openxmlformats.org/spreadsheetml/2006/main" count="406" uniqueCount="306">
  <si>
    <t>Appliance</t>
  </si>
  <si>
    <t>Typical Use (16:00–21:00)</t>
  </si>
  <si>
    <t>Min kWh</t>
  </si>
  <si>
    <t>Max kWh</t>
  </si>
  <si>
    <t>Assumptions</t>
  </si>
  <si>
    <t>Sources/References</t>
  </si>
  <si>
    <t>Total numer of models</t>
  </si>
  <si>
    <t>A+++</t>
  </si>
  <si>
    <t>A++</t>
  </si>
  <si>
    <t>A+</t>
  </si>
  <si>
    <t>A</t>
  </si>
  <si>
    <t>B</t>
  </si>
  <si>
    <t>C</t>
  </si>
  <si>
    <t>D</t>
  </si>
  <si>
    <t>E</t>
  </si>
  <si>
    <t>F</t>
  </si>
  <si>
    <t>G</t>
  </si>
  <si>
    <t>Air Conditioner - Cooling</t>
  </si>
  <si>
    <t>Cooling for 3–5 hours</t>
  </si>
  <si>
    <t>Moderate load. Cooling power 2.5-6.0 kW. SEER 4.5-8.5 (A+++/A++)</t>
  </si>
  <si>
    <t>https://eprel.ec.europa.eu/screen/product/airconditioners</t>
  </si>
  <si>
    <t>%</t>
  </si>
  <si>
    <t>11,5</t>
  </si>
  <si>
    <t>72,9</t>
  </si>
  <si>
    <t>7,4</t>
  </si>
  <si>
    <t>6,5</t>
  </si>
  <si>
    <t>1,6</t>
  </si>
  <si>
    <t>0,1</t>
  </si>
  <si>
    <t>0,0</t>
  </si>
  <si>
    <t>Air Conditioner - Heating</t>
  </si>
  <si>
    <t>Heating for 3–5 hours</t>
  </si>
  <si>
    <t>Heat demand 3–5kW. COP 3-4</t>
  </si>
  <si>
    <t>Charge to replace daily kilometrage</t>
  </si>
  <si>
    <t>https://www.cbs.nl/nl-nl/maatwerk/2024/49/gemiddeld-kilometrage-personenauto-s-per-365-dagen</t>
  </si>
  <si>
    <t>https://newtransparency.entsoe.eu</t>
  </si>
  <si>
    <t>E-HP -- Row house, good insulation (cooling)</t>
  </si>
  <si>
    <t>3h</t>
  </si>
  <si>
    <t>E-HP -- Row house, good insulation (heating)</t>
  </si>
  <si>
    <t xml:space="preserve">https://www.coolblue.nl/en/heat-pumps </t>
  </si>
  <si>
    <t>4h</t>
  </si>
  <si>
    <t>0,7</t>
  </si>
  <si>
    <t>0,5</t>
  </si>
  <si>
    <t>0,2</t>
  </si>
  <si>
    <t>Charging Electric Bicycle</t>
  </si>
  <si>
    <t>Used bike kilometrages and electricity use of e-bikes, with a charging efficiency loss.  Low end is for average of all population (in terms of kilometers). High-end is the group with most kilometers (12-18 years). Note that average and currently most represntative group of users is 0.03 kWh for Age Group 65-75</t>
  </si>
  <si>
    <t>https://www.cbs.nl/nl-nl/visualisaties/verkeer-en-vervoer/personen/fietsen#:~:text=Fietsen%20naar%20geslacht%20en%20leeftijd&amp;text=Gemiddeld%20fietsten%20vrouwen%202%2C7,dag%20de%20langste%20afstand%20af.</t>
  </si>
  <si>
    <t>https://www.anwb.nl/energie/energieverbruik/hoeveel-stroom-verbruikt-een-elektrische-fiets</t>
  </si>
  <si>
    <t>Dishwasher</t>
  </si>
  <si>
    <t>1 full cycle (3–6 hours)</t>
  </si>
  <si>
    <t>8,4</t>
  </si>
  <si>
    <t>10,5</t>
  </si>
  <si>
    <t>16,1</t>
  </si>
  <si>
    <t>24,5</t>
  </si>
  <si>
    <t>34,9</t>
  </si>
  <si>
    <t>4,6</t>
  </si>
  <si>
    <t>1,0</t>
  </si>
  <si>
    <t>Household driers</t>
  </si>
  <si>
    <t>1 full cycle (~3 h)</t>
  </si>
  <si>
    <t>41,1</t>
  </si>
  <si>
    <t>5,7</t>
  </si>
  <si>
    <t>16,8</t>
  </si>
  <si>
    <t>3,6</t>
  </si>
  <si>
    <t>Washing Machine</t>
  </si>
  <si>
    <t>51,0</t>
  </si>
  <si>
    <t>14,1</t>
  </si>
  <si>
    <t>10,1</t>
  </si>
  <si>
    <t>18,0</t>
  </si>
  <si>
    <t>6,0</t>
  </si>
  <si>
    <t>Washing Machine + drier</t>
  </si>
  <si>
    <t>Air fryer</t>
  </si>
  <si>
    <t xml:space="preserve">	15–30 min</t>
  </si>
  <si>
    <t>Air fryer rated 1.2–1.5 kW, used for quick meals or snacks (15–30 minutes).</t>
  </si>
  <si>
    <t>Charging phone</t>
  </si>
  <si>
    <t>1–2 phones x 3h charging</t>
  </si>
  <si>
    <t>Phone charging ~20 W per phone; 1–2 phones charged 2–3 hours.</t>
  </si>
  <si>
    <t>Coffee Machine</t>
  </si>
  <si>
    <t>1–2 short cycles (~120seconds)</t>
  </si>
  <si>
    <t>https://www.topten.eu/private/selection-criteria/coffee-machines</t>
  </si>
  <si>
    <t>30–60 min cooking</t>
  </si>
  <si>
    <t>https://www.coolblue.nl/en/stoves/2-phase-stoves/breedte-fornuis:0.6?apf=done</t>
  </si>
  <si>
    <t>Electric kettle (Waterkoker)</t>
  </si>
  <si>
    <t>1–2 boils (~5 min per boil)</t>
  </si>
  <si>
    <t>Game console (e.g. Playstation)</t>
  </si>
  <si>
    <t>2-3h</t>
  </si>
  <si>
    <t>Game console ~125–220 W; used for 2–3 hours gaming session.</t>
  </si>
  <si>
    <t xml:space="preserve">https://www.playstation.com/en-in/legal/ecodesign/ </t>
  </si>
  <si>
    <t>LED lights</t>
  </si>
  <si>
    <t>LED lighting in a typical  household. 10-20 lamps of 4-8W simultaneously</t>
  </si>
  <si>
    <t xml:space="preserve">https://eprel.ec.europa.eu/screen/product/lightsources </t>
  </si>
  <si>
    <t>Oven</t>
  </si>
  <si>
    <t>1 cycle (55 minutes)</t>
  </si>
  <si>
    <t>67,7</t>
  </si>
  <si>
    <t>Refrigerator</t>
  </si>
  <si>
    <t>Always on (24h use)</t>
  </si>
  <si>
    <t>0,6</t>
  </si>
  <si>
    <t>48,2</t>
  </si>
  <si>
    <t>27,3</t>
  </si>
  <si>
    <t>7,8</t>
  </si>
  <si>
    <t>TV 32''-42''</t>
  </si>
  <si>
    <t>Vacuum Cleaner</t>
  </si>
  <si>
    <t>One cleaning session (~30 min)</t>
  </si>
  <si>
    <t>Energy Annual ÷ 365 ÷ 24 × 5h</t>
  </si>
  <si>
    <t>~1.3–1.6 kW × 1 min x cups</t>
  </si>
  <si>
    <t>Power × Duration</t>
  </si>
  <si>
    <t>Energy 100 cycles (energy label)</t>
  </si>
  <si>
    <t>Energy per standard cycle</t>
  </si>
  <si>
    <t>Heat Pump – Cooling Small/Medium system</t>
  </si>
  <si>
    <t>Cooling Output × Time ÷ SEER</t>
  </si>
  <si>
    <t>Annual / CyclesPerYear</t>
  </si>
  <si>
    <t>Heating Output × Time ÷ COP</t>
  </si>
  <si>
    <t>EPREL energy label</t>
  </si>
  <si>
    <t>Heat Pump – Heating (35 deg)</t>
  </si>
  <si>
    <t>Heat Pump – Heating (55 deg)</t>
  </si>
  <si>
    <t>Heat Pump – Cooling Large system</t>
  </si>
  <si>
    <t xml:space="preserve">https://www.coolblue.nl/en/dishwashers/built-in/filter?sort=most-sold </t>
  </si>
  <si>
    <t>Gemiddeld kilometrage per 365/366 dagen van Nederlandse personenauto's</t>
  </si>
  <si>
    <t>2023*</t>
  </si>
  <si>
    <t>Totaal</t>
  </si>
  <si>
    <t>Benzine(inclusief benzine hybrides en ethanol)</t>
  </si>
  <si>
    <t>Diesel (inclusief diesel hybrides)</t>
  </si>
  <si>
    <t>Volledig elektrisch (FEV) inclusief waterstof</t>
  </si>
  <si>
    <t>LPG (inclusief LPG hybrides)</t>
  </si>
  <si>
    <t>Plug-in hybride (PHEV)</t>
  </si>
  <si>
    <t>Aardgas (LNG en CNG inclusief aardgas hybrides en LNG hybrides)</t>
  </si>
  <si>
    <t>Car consumption (kwh/km)</t>
  </si>
  <si>
    <t>Days per year</t>
  </si>
  <si>
    <t>Amount of kWhe a car with that kilometrage would use. This gives an upper bound on the peak consumption (assume charging only at home). We also assume charging every day, but if cars charge every X days, there is no reason to favour a specific day and all averages out). For an 11 kW charger, all these can be satisfied within an hour. For a 5.5 kW charger, all these are done within two hours --&gt; All these can be satisfied within the peak.</t>
  </si>
  <si>
    <t>As BEVs becme mainstream, the kilometrage will converge to the average (the reason why BEVs have larger kilometrages now is because they currently are used by a different demographic than the rest).</t>
  </si>
  <si>
    <t>Leeftijd</t>
  </si>
  <si>
    <t>Totaal (km per persoon per dag)</t>
  </si>
  <si>
    <t>Mannen (km per persoon per dag)</t>
  </si>
  <si>
    <t>Vrouwen (km per persoon per dag)</t>
  </si>
  <si>
    <t>6 tot 12 jaar</t>
  </si>
  <si>
    <t>12 tot 18 jaar</t>
  </si>
  <si>
    <t>gCO2/gDME</t>
  </si>
  <si>
    <t>18 tot 25 jaar</t>
  </si>
  <si>
    <t>25 tot 35 jaar</t>
  </si>
  <si>
    <t>35 tot 50 jaar</t>
  </si>
  <si>
    <t>50 tot 65 jaar</t>
  </si>
  <si>
    <t>65 tot 75 jaar</t>
  </si>
  <si>
    <t>75 jaar of ouder</t>
  </si>
  <si>
    <t>Bron: CBS https://www.cbs.nl/nl-nl/visualisaties/verkeer-en-vervoer/personen/fietsen#:~:text=Fietsen%20naar%20geslacht%20en%20leeftijd&amp;text=Gemiddeld%20fietsten%20vrouwen%202%2C7,dag%20de%20langste%20afstand%20af.</t>
  </si>
  <si>
    <t>e-bikes probably are used more</t>
  </si>
  <si>
    <t>This age group uses e-bikes more</t>
  </si>
  <si>
    <t>Average</t>
  </si>
  <si>
    <t>High users</t>
  </si>
  <si>
    <t>Old users</t>
  </si>
  <si>
    <t>e-bike kilometrage</t>
  </si>
  <si>
    <t>e-bike consumption (kWh/km)</t>
  </si>
  <si>
    <t>Source: https://www.anwb.nl/energie/energieverbruik/hoeveel-stroom-verbruikt-een-elektrische-fiets (6 Wh/ km with 25% charging efficiency loss)</t>
  </si>
  <si>
    <t>e-bike daily demand (kWh)</t>
  </si>
  <si>
    <t>Same assumptions/reasoning as for cars, except that it might be possible that switching to e-bikes increases kilometrage, as e-bikes allow travel for less effort and might thus be used more</t>
  </si>
  <si>
    <t>capacity_kWh=10, charging_power_kW=5,charging_efficiency=0.85, proportion_used_in_a_typical_day=0.7</t>
  </si>
  <si>
    <t>Day Ahead</t>
  </si>
  <si>
    <t>Long Imbalance</t>
  </si>
  <si>
    <t>Short Imbalance</t>
  </si>
  <si>
    <t>capacity_kWh=20, charging_power_kW=5,charging_efficiency=0.85, proportion_used_in_a_typical_day=0.7</t>
  </si>
  <si>
    <t>capacity_kWh=20, charging_power_kW=10,charging_efficiency=0.85, proportion_used_in_a_typical_day=0.7</t>
  </si>
  <si>
    <t>capacity_kWh=5, charging_power_kW=2.5,charging_efficiency=0.85, proportion_used_in_a_typical_day=0.7</t>
  </si>
  <si>
    <t>Cumulative charge from network (kWh)</t>
  </si>
  <si>
    <t>Cumulative peak charge from network (kWh)</t>
  </si>
  <si>
    <t>Average daily peak charge from network (kWh)</t>
  </si>
  <si>
    <t>Cumulative discharge to network (kWh)</t>
  </si>
  <si>
    <t>Cumulative peak discharge to network (kWh)</t>
  </si>
  <si>
    <t>Average daily peak discharge to network (kWh)</t>
  </si>
  <si>
    <t>Charging home battery (reducing own costs)</t>
  </si>
  <si>
    <t>Charging home battery (leveraging imbalance market)</t>
  </si>
  <si>
    <t>Charging Electric Vehicle (low traveler)</t>
  </si>
  <si>
    <t>Charging Electric Vehicle (high traveler)</t>
  </si>
  <si>
    <t>Low</t>
  </si>
  <si>
    <t>High</t>
  </si>
  <si>
    <t>Charger efficiency</t>
  </si>
  <si>
    <t>Charge from network per kilometer (kWh/km)</t>
  </si>
  <si>
    <t>kWhe per day (low)</t>
  </si>
  <si>
    <t>kWhe per day (high)</t>
  </si>
  <si>
    <t>Peak demand of fleet average (kWh) low</t>
  </si>
  <si>
    <t>Peak demand low travelers base: gasoline users) low kWh</t>
  </si>
  <si>
    <t>Peak demand high travelers (base: FEV users) low kWh</t>
  </si>
  <si>
    <t>Peak demand low travelers base: gasoline users) high kWh</t>
  </si>
  <si>
    <t>Peak demand high travelers (base: FEV users) high kWh</t>
  </si>
  <si>
    <t>Peak demand of fleet average (kWh) high</t>
  </si>
  <si>
    <t>Yearly kilometrage times demand per kilometer times efficiency factor divided by days per year. Assumed all the charge occurs during the peak (i.e. from the moment the car comes home after 16h and charing is complete before 21h, and assumes the car does not charge elsewhere). Range is for a typical electric vehicle consumption range (15-20 kWh/100km and 85% charging efficiency). Low traveler=current gasoline car user</t>
  </si>
  <si>
    <t>Yearly kilometrage times demand per kilometer times efficiency factor divided by days per year. Assumed all the charge occurs during the peak (i.e. from the moment the car comes home after 16h and charing is complete before 21h, and assumes the car does not charge elsewhere). Range is for a typical electric vehicle consumption range (15-20 kWh/100km and 85% charging efficiency). Low traveler=current electric car user</t>
  </si>
  <si>
    <t>Assumed battery charges a given percentage (70%) of its capacity, with a charging power to capacity ratio of 2 (hours, as in the battery can be fully charged in 2 hours: 10kWh--&gt; 5kW, 5kWh--&gt;2.5 kW). and an efficiency of 0.85. That charge is drawn during the most advtantageous moments (hours or quarters). Peak charging will occur if these hours/quarters are in the peak. Taken yearly average of prices. Min value is for a 5 kWh battery. Max value is for a 10 kWh battery (10 kWh). Both use day ahead pricing as a reference.</t>
  </si>
  <si>
    <t>Assumed battery charges a given percentage (50%) of its capacity, with a charging power to capacity ratio of 2 (hours, as in the battery can be fully charged in 2 hours: 10kWh--&gt; 5kW, 5kWh--&gt;2.5 kW). and an efficiency of 0.85. Min if for a 5kWh battery size. Max is for a 10 kWh battery size. They both leverage the imbalance market by drawing from the network when the regulation condition is "DOWN" (reward to consume/take off from the network) and dichage to network when the condition is  "UP" (reward to discharge to the network). This takes into acocunt the available capacity (cannot go above it, cannot go below 0).</t>
  </si>
  <si>
    <t>https://www.tennet.eu/nl/de-elektriciteitsmarkt/transparantie-nederland/verrekenprijzen#14726</t>
  </si>
  <si>
    <t>Typical value (see eg: https://backend.orbit.dtu.dk/ws/portalfiles/portal/137328554/efficiency_paper.pdf )</t>
  </si>
  <si>
    <t>Bron: CBS https://opendata.cbs.nl/statline/#/CBS/nl/dataset/85405NED/table?ts=1752781046722</t>
  </si>
  <si>
    <t>Percent using this type</t>
  </si>
  <si>
    <t>Wall plug</t>
  </si>
  <si>
    <t>Deidicated charger</t>
  </si>
  <si>
    <t>https://www.anwb.nl/energie/energieverbruik/hoeveel-stroom-verbruikt-een-elektrische-auto</t>
  </si>
  <si>
    <t>Typical range based on: https://ev-database.org/cheatsheet/energy-consumption-electric-car and https://www.anwb.nl/energie/energieverbruik/hoeveel-stroom-verbruikt-een-elektrische-auto</t>
  </si>
  <si>
    <t>Heating COP ~2.5 - 3.5 good insulation. Smaller living volume. Surrounded by other units. Setpoint 21°C between timewindow with a 8.5kWth system</t>
  </si>
  <si>
    <t>Cooling SEER ~5.5 - 7.5 well-insulated structure. Setpoint 23°C between timewindow with a 8.5kWth system</t>
  </si>
  <si>
    <t>Cooling SEER ~5.5 - 7.5 well-insulated structure. Setpoint 23°C between timewindow with a 12kWth system</t>
  </si>
  <si>
    <t>Heating COP ~2.5 - 3.5 Medium living volume. Moderate insulation. Surrounded by other units. Setpoint 21°C between timewindow with a 12kWth system</t>
  </si>
  <si>
    <t>Cooling SEER ~5.5 - 7.5 Moderately-insulated structure. Setpoint 23°C between timewindow with a 12kWth system.</t>
  </si>
  <si>
    <t>Cooling SEER ~5.5 - 7.5 Moderately-insulated structure. Setpoint 23°C between timewindow with a 12kWth system</t>
  </si>
  <si>
    <t>Heating COP ~2.5 - 3.5. Medium living volume. Good insulation. Surrounded by other units. Setpoint 21°C between timewindow with a 12kWth system</t>
  </si>
  <si>
    <t>Category</t>
  </si>
  <si>
    <t>Disttribution of current models over energy class</t>
  </si>
  <si>
    <t>Sheet Energy use bevat de berekeningen van het elektriciteitsverbruik tussen 16-21u voor een lijst van huishoudelijke apparaten. Aanames en gebruikte bronnen worden ook gegeven.</t>
  </si>
  <si>
    <t xml:space="preserve">Sheets EVs, Home batteries en Heat pumps bevatten aanvullende gegevens en berekeningen voor de betreffende apparaten. </t>
  </si>
  <si>
    <t>Heating COP ~2.5 - 3.5 Medium living volume. Good insulation. Surrounded by other units. Setpoint 21°C between timewindow with a 12kWth system</t>
  </si>
  <si>
    <t>Simulated based on various data</t>
  </si>
  <si>
    <t>E-HP -- Row house, Moderate insulation (heating)</t>
  </si>
  <si>
    <t>Heating COP ~2.5 - 3.5. Medium living volume. Moderate insulation. Surrounded by other units. Setpoint 21°C between timewindow with a 12kWth system</t>
  </si>
  <si>
    <t>Cat</t>
  </si>
  <si>
    <t>Appliance (EN)</t>
  </si>
  <si>
    <t>Appliance (NL)</t>
  </si>
  <si>
    <t>Airconditioner – Koelen</t>
  </si>
  <si>
    <t>Airconditioner – Verwarmen</t>
  </si>
  <si>
    <t>Elektrische auto opladen (weinig kilometers)</t>
  </si>
  <si>
    <t>Elektrische auto opladen (veel kilometers)</t>
  </si>
  <si>
    <t>Thuisbatterij opladen (kostenreductie)</t>
  </si>
  <si>
    <t>Thuisbatterij opladen (onbalansmarkt)</t>
  </si>
  <si>
    <t>E-HP -- Apartment, good insulation (cooling)</t>
  </si>
  <si>
    <t>Lucht/water-warmtepomp – Appartement, goede isolatie (koelen)</t>
  </si>
  <si>
    <t>E-HP -- Apartment, good insulation (heating)</t>
  </si>
  <si>
    <t>Lucht/water-warmtepomp – Appartement, goede isolatie (verwarmen)</t>
  </si>
  <si>
    <t>Lucht/water-warmtepomp – Rijtjeshuis, goede isolatie (koelen)</t>
  </si>
  <si>
    <t>Lucht/water-warmtepomp – Rijtjeshuis, goede isolatie (verwarmen)</t>
  </si>
  <si>
    <t>Lucht/water-warmtepomp – Rijtjeshuis, matige isolatie (verwarmen)</t>
  </si>
  <si>
    <t>H-HP -- Row house, moderate insulation (cooling)</t>
  </si>
  <si>
    <t>Hybride warmtepomp – Rijtjeshuis, matige isolatie (koelen)</t>
  </si>
  <si>
    <t>H-HP -- Row house, moderate insulation (heating)</t>
  </si>
  <si>
    <t>Hybride warmtepomp – Rijtjeshuis, matige isolatie (verwarmen)</t>
  </si>
  <si>
    <t>H-HP -- Row house, good insulation (heating)</t>
  </si>
  <si>
    <t>Hybride warmtepomp – Rijtjeshuis, goede isolatie (verwarmen)</t>
  </si>
  <si>
    <t>H-HP -- Free-standing house, moderate insulation (cooling)</t>
  </si>
  <si>
    <t>Hybride warmtepomp – Vrijstaand huis, matige isolatie (koelen)</t>
  </si>
  <si>
    <t>H-HP -- Free-standing house, moderate insulation (heating)</t>
  </si>
  <si>
    <t>Hybride warmtepomp – Vrijstaand huis, matige isolatie (verwarmen)</t>
  </si>
  <si>
    <t>Elektrische fiets opladen</t>
  </si>
  <si>
    <t>Vaatwasser</t>
  </si>
  <si>
    <t>Wasdroger(s)</t>
  </si>
  <si>
    <t>Wasmachine</t>
  </si>
  <si>
    <t>Airfryer</t>
  </si>
  <si>
    <t>Telefoon opladen</t>
  </si>
  <si>
    <t>Koffiezetapparaat</t>
  </si>
  <si>
    <t>Electric cooking (keramisch / inductie)</t>
  </si>
  <si>
    <t>Elektrisch koken (keramisch / inductie)</t>
  </si>
  <si>
    <t>Waterkoker</t>
  </si>
  <si>
    <t>Gameconsole (bijv. PlayStation)</t>
  </si>
  <si>
    <t>LED-verlichting</t>
  </si>
  <si>
    <t>Koelkast</t>
  </si>
  <si>
    <t>TV 32''–42''</t>
  </si>
  <si>
    <t>Stofzuiger</t>
  </si>
  <si>
    <t>Battery capacity (kWh) (100.00% is used for imbalance schemes)</t>
  </si>
  <si>
    <t>Koelen</t>
  </si>
  <si>
    <t>Verwarmen</t>
  </si>
  <si>
    <t>H-HP</t>
  </si>
  <si>
    <t>E-HP</t>
  </si>
  <si>
    <t>Rijtjeshuis - goede isolatie</t>
  </si>
  <si>
    <t>Rijtjeshuis - matige isolatie</t>
  </si>
  <si>
    <t>Appartement - goede isolatie</t>
  </si>
  <si>
    <t>Vrijstaand huis - matige isolatie</t>
  </si>
  <si>
    <t>X</t>
  </si>
  <si>
    <t>Ceramic/induction cooktop rated 7.0 kW. 2 simultaneous cooking zones totalling 3kW, used 30–60 minutes. Utilization factor 60%</t>
  </si>
  <si>
    <t>E-HP – Appartement, goede isolatie (verwarmen)</t>
  </si>
  <si>
    <t>E-HP – Appartement, goede isolatie (koelen)</t>
  </si>
  <si>
    <t>E-HP – Rijtjeshuis, goede isolatie (koelen)</t>
  </si>
  <si>
    <t>E-HP – Rijtjeshuis, goede isolatie (verwarmen)</t>
  </si>
  <si>
    <t>E-HP – Rijtjeshuis, matige isolatie (verwarmen)</t>
  </si>
  <si>
    <t>H-HP – Rijtjeshuis, goede isolatie (verwarmen)</t>
  </si>
  <si>
    <t>H-HP – Rijtjeshuis, matige isolatie (koelen)</t>
  </si>
  <si>
    <t>H-HP – Rijtjeshuis, matige isolatie (verwarmen)</t>
  </si>
  <si>
    <t>H-HP – Vrijstaand huis, matige isolatie (koelen)</t>
  </si>
  <si>
    <t>H-HP – Vrijstaand huis, matige isolatie (verwarmen)</t>
  </si>
  <si>
    <t>Charge to replace daily kilometrage of 30 km per day times an effective consumption of 0.17-0.34 kWh/km.</t>
  </si>
  <si>
    <t>Charge to replace daily kilometrage of 50 km per day times an effective consumption of 0.17-0.34 kWh/km.</t>
  </si>
  <si>
    <t>ELECTRISCHE FIETSEN</t>
  </si>
  <si>
    <t>Wasdroger</t>
  </si>
  <si>
    <t>Small cup machines (e.g., Nespresso) used 1–2 times.  ~1260 W for 2 min</t>
  </si>
  <si>
    <t>Kettle rated 3 kW, used for boiling water 1-2 times per evening (2L) (5 min per boil)</t>
  </si>
  <si>
    <t>https://www.topten.eu/private/products/vacuum_cleaners</t>
  </si>
  <si>
    <t>Thuisbatterij opladen (handel op onbalansmarkt)</t>
  </si>
  <si>
    <t>Thuisbatterij opladen (o.b.v day-ahead uurprijzen)</t>
  </si>
  <si>
    <t>Airconditioner (koelen)</t>
  </si>
  <si>
    <t>Airconditioner (verwarmen)</t>
  </si>
  <si>
    <t>Koelvries combinatie</t>
  </si>
  <si>
    <t>Typical program. Energy label data for efficient models (A-E).</t>
  </si>
  <si>
    <t>https://www.mediamarkt.nl/nl/category/drogers-1280.html?filter=productType:Droger</t>
  </si>
  <si>
    <t>Heat pump or condenser dryer. 7-9kg. Used for one full cycle. Based on weighted average energy consumption per 100 drying cycles for A-G labels (new)</t>
  </si>
  <si>
    <t>Based on Eco 40-60 program wash program. Energy label A-E.Rated capacity &lt;=12 kg</t>
  </si>
  <si>
    <t xml:space="preserve">Continuous low power use. Estimated~Based on 100–300 kWh/year. Energy labels A-G. </t>
  </si>
  <si>
    <t>Efficient vacuum used for ~30 minutes at ~600–900 W.</t>
  </si>
  <si>
    <t>Heating COP ~2.5 - 3.5. Bigger living volume. Moderate insulation. Setpoint 21°C between timewindow with a 12kWth system</t>
  </si>
  <si>
    <t>https://www.mediamarkt.nl/nl/category/koel-vriescombinaties-1735.html</t>
  </si>
  <si>
    <t>https://www.mediamarkt.nl/nl/category/inbouwovens-82.html</t>
  </si>
  <si>
    <t>https://www.mediamarkt.nl/nl/category/wasmachines-1283.html?washingCapacity=3-12</t>
  </si>
  <si>
    <t>TV 32''–65''</t>
  </si>
  <si>
    <t>https://www.mediamarkt.nl/nl/category/televisies-453.html?displayInInch=32.0-65.0&amp;sort=salescount+desc</t>
  </si>
  <si>
    <t>https://www.mediamarkt.nl/nl/category/airfryers-xl-1829.html</t>
  </si>
  <si>
    <t>https://www.mediamarkt.be/nl/category/waterkoker-1261.html?query=waterkoker&amp;power=2500-3000</t>
  </si>
  <si>
    <t xml:space="preserve">https://www.mediamarkt.nl/nl/category/telefoon-opladers-1360.html </t>
  </si>
  <si>
    <t>Electric oven. Conventional/fan-forced. at 2.5–3.6 kW (A-C). Single cavity (based on energy label)</t>
  </si>
  <si>
    <t>Primary distribution source</t>
  </si>
  <si>
    <t>Sanity check EPREL</t>
  </si>
  <si>
    <t>(old label scheme)</t>
  </si>
  <si>
    <t>combination of old and new label scheme</t>
  </si>
  <si>
    <t>new label scheme</t>
  </si>
  <si>
    <t>TV based on energy label D-G estimated for 1000h of use</t>
  </si>
  <si>
    <t>Deze spreadsheet vormt een bijlage bij de TNO Memo Verschuiven elektriciteitsverbruik uit piekuren (TNO 2025 M12684).</t>
  </si>
  <si>
    <t>For a description of the analysis method, see  TNO Memo Verschuiven elektriciteitsverbruik uit piekuren (TNO 2025 M12684).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</si>
</sst>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 ###\ ###\ ###\ ###\ ###\ ##0"/>
    <numFmt numFmtId="165" formatCode="0.0"/>
  </numFmts>
  <fonts count="13" x14ac:knownFonts="1">
    <font>
      <sz val="11"/>
      <color theme="1"/>
      <name val="Calibri"/>
      <family val="2"/>
      <scheme val="minor"/>
    </font>
    <font>
      <b/>
      <sz val="11"/>
      <color theme="1"/>
      <name val="Calibri"/>
      <family val="2"/>
      <scheme val="minor"/>
    </font>
    <font>
      <u/>
      <sz val="11"/>
      <color theme="10"/>
      <name val="Calibri"/>
      <family val="2"/>
    </font>
    <font>
      <sz val="8"/>
      <name val="Calibri"/>
      <family val="2"/>
      <scheme val="minor"/>
    </font>
    <font>
      <b/>
      <sz val="12"/>
      <color rgb="FF404040"/>
      <name val="Arial"/>
      <family val="2"/>
    </font>
    <font>
      <sz val="12"/>
      <color rgb="FFFFFFFF"/>
      <name val="Arial"/>
      <family val="2"/>
    </font>
    <font>
      <sz val="12"/>
      <color rgb="FF404040"/>
      <name val="Arial"/>
      <family val="2"/>
    </font>
    <font>
      <sz val="10"/>
      <color rgb="FF000000"/>
      <name val="Verdana"/>
      <family val="2"/>
    </font>
    <font>
      <sz val="11"/>
      <color theme="1"/>
      <name val="Calibri"/>
      <family val="2"/>
      <scheme val="minor"/>
    </font>
    <font>
      <sz val="11"/>
      <color rgb="FF000000"/>
      <name val="Calibri"/>
      <family val="2"/>
      <scheme val="minor"/>
    </font>
    <font>
      <sz val="11"/>
      <color rgb="FFFFFFFF"/>
      <name val="Calibri"/>
      <family val="2"/>
      <scheme val="minor"/>
    </font>
    <font>
      <sz val="8"/>
      <color theme="1"/>
      <name val="Arial"/>
    </font>
    <font>
      <b/>
      <sz val="11"/>
      <color rgb="FF000000"/>
      <name val="Calibri"/>
      <family val="2"/>
      <scheme val="minor"/>
    </font>
  </fonts>
  <fills count="21">
    <fill>
      <patternFill patternType="none"/>
    </fill>
    <fill>
      <patternFill patternType="gray125"/>
    </fill>
    <fill>
      <patternFill patternType="solid">
        <fgColor rgb="FF00A650"/>
        <bgColor indexed="64"/>
      </patternFill>
    </fill>
    <fill>
      <patternFill patternType="solid">
        <fgColor rgb="FF4DBD38"/>
        <bgColor indexed="64"/>
      </patternFill>
    </fill>
    <fill>
      <patternFill patternType="solid">
        <fgColor rgb="FFB3DB18"/>
        <bgColor indexed="64"/>
      </patternFill>
    </fill>
    <fill>
      <patternFill patternType="solid">
        <fgColor rgb="FFFFF200"/>
        <bgColor indexed="64"/>
      </patternFill>
    </fill>
    <fill>
      <patternFill patternType="solid">
        <fgColor rgb="FFFAB20B"/>
        <bgColor indexed="64"/>
      </patternFill>
    </fill>
    <fill>
      <patternFill patternType="solid">
        <fgColor rgb="FFF25C19"/>
        <bgColor indexed="64"/>
      </patternFill>
    </fill>
    <fill>
      <patternFill patternType="solid">
        <fgColor rgb="FFED1C24"/>
        <bgColor indexed="64"/>
      </patternFill>
    </fill>
    <fill>
      <patternFill patternType="solid">
        <fgColor rgb="FF9BC2E6"/>
        <bgColor indexed="64"/>
      </patternFill>
    </fill>
    <fill>
      <patternFill patternType="solid">
        <fgColor rgb="FFE7E6E6"/>
        <bgColor indexed="64"/>
      </patternFill>
    </fill>
    <fill>
      <patternFill patternType="solid">
        <fgColor rgb="FFED7D31"/>
        <bgColor indexed="64"/>
      </patternFill>
    </fill>
    <fill>
      <patternFill patternType="gray0625">
        <fgColor theme="0" tint="-0.24994659260841701"/>
        <bgColor theme="0"/>
      </patternFill>
    </fill>
    <fill>
      <patternFill patternType="solid">
        <fgColor theme="9" tint="0.39994506668294322"/>
        <bgColor indexed="64"/>
      </patternFill>
    </fill>
    <fill>
      <patternFill patternType="solid">
        <fgColor theme="0"/>
        <bgColor indexed="64"/>
      </patternFill>
    </fill>
    <fill>
      <patternFill patternType="solid">
        <fgColor rgb="FF00B050"/>
        <bgColor indexed="64"/>
      </patternFill>
    </fill>
    <fill>
      <patternFill patternType="solid">
        <fgColor rgb="FFFFCC00"/>
        <bgColor indexed="64"/>
      </patternFill>
    </fill>
    <fill>
      <patternFill patternType="solid">
        <fgColor theme="6"/>
        <bgColor indexed="64"/>
      </patternFill>
    </fill>
    <fill>
      <patternFill patternType="solid">
        <fgColor theme="0" tint="-0.34998626667073579"/>
        <bgColor indexed="64"/>
      </patternFill>
    </fill>
    <fill>
      <patternFill patternType="solid">
        <fgColor theme="9"/>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ck">
        <color indexed="64"/>
      </left>
      <right style="thick">
        <color indexed="64"/>
      </right>
      <top style="thick">
        <color indexed="64"/>
      </top>
      <bottom style="thick">
        <color indexed="64"/>
      </bottom>
      <diagonal/>
    </border>
    <border>
      <left style="medium">
        <color rgb="FFDDDDDD"/>
      </left>
      <right style="medium">
        <color rgb="FFDDDDDD"/>
      </right>
      <top style="medium">
        <color rgb="FFDDDDDD"/>
      </top>
      <bottom/>
      <diagonal/>
    </border>
    <border>
      <left/>
      <right style="thin">
        <color auto="1"/>
      </right>
      <top style="thin">
        <color auto="1"/>
      </top>
      <bottom style="thin">
        <color auto="1"/>
      </bottom>
      <diagonal/>
    </border>
  </borders>
  <cellStyleXfs count="9">
    <xf numFmtId="0" fontId="0" fillId="0" borderId="0"/>
    <xf numFmtId="0" fontId="2" fillId="0" borderId="0" applyNumberFormat="0" applyFill="0" applyBorder="0" applyAlignment="0" applyProtection="0">
      <alignment vertical="top"/>
      <protection locked="0"/>
    </xf>
    <xf numFmtId="0" fontId="9" fillId="9" borderId="0"/>
    <xf numFmtId="0" fontId="9" fillId="10" borderId="0">
      <alignment wrapText="1"/>
    </xf>
    <xf numFmtId="0" fontId="10" fillId="11" borderId="0" applyProtection="0">
      <alignment wrapText="1"/>
      <protection locked="0"/>
    </xf>
    <xf numFmtId="0" fontId="8" fillId="12" borderId="2">
      <alignment wrapText="1"/>
      <protection locked="0"/>
    </xf>
    <xf numFmtId="0" fontId="8" fillId="13" borderId="0">
      <alignment wrapText="1"/>
    </xf>
    <xf numFmtId="2" fontId="8" fillId="0" borderId="0" applyFont="0" applyFill="0" applyBorder="0" applyAlignment="0" applyProtection="0"/>
    <xf numFmtId="43" fontId="8" fillId="0" borderId="0" applyFont="0" applyFill="0" applyBorder="0" applyAlignment="0" applyProtection="0"/>
  </cellStyleXfs>
  <cellXfs count="60">
    <xf numFmtId="0" fontId="0" fillId="0" borderId="0" xfId="0"/>
    <xf numFmtId="0" fontId="1" fillId="0" borderId="1" xfId="0" applyFont="1" applyBorder="1" applyAlignment="1">
      <alignment horizontal="center" vertical="top"/>
    </xf>
    <xf numFmtId="0" fontId="2" fillId="0" borderId="0" xfId="1" applyAlignment="1" applyProtection="1"/>
    <xf numFmtId="0" fontId="1" fillId="0" borderId="0" xfId="0" applyFont="1"/>
    <xf numFmtId="0" fontId="4" fillId="0" borderId="0" xfId="0" applyFont="1" applyAlignment="1">
      <alignment horizontal="center" vertical="center" wrapText="1"/>
    </xf>
    <xf numFmtId="0" fontId="0" fillId="0" borderId="0" xfId="0" applyAlignment="1">
      <alignment horizontal="center"/>
    </xf>
    <xf numFmtId="0" fontId="1" fillId="0" borderId="0" xfId="0" applyFont="1" applyAlignment="1">
      <alignment horizontal="center"/>
    </xf>
    <xf numFmtId="0" fontId="7" fillId="0" borderId="0" xfId="0" applyFont="1" applyAlignment="1">
      <alignment horizontal="left" vertical="center" indent="5"/>
    </xf>
    <xf numFmtId="0" fontId="9" fillId="9" borderId="0" xfId="2"/>
    <xf numFmtId="0" fontId="9" fillId="10" borderId="0" xfId="3">
      <alignment wrapText="1"/>
    </xf>
    <xf numFmtId="164" fontId="11" fillId="14" borderId="0" xfId="0" applyNumberFormat="1" applyFont="1" applyFill="1" applyAlignment="1">
      <alignment horizontal="right" vertical="center"/>
    </xf>
    <xf numFmtId="0" fontId="12" fillId="9" borderId="0" xfId="2" applyFont="1"/>
    <xf numFmtId="0" fontId="10" fillId="11" borderId="0" xfId="4" applyProtection="1">
      <alignment wrapText="1"/>
    </xf>
    <xf numFmtId="0" fontId="0" fillId="12" borderId="2" xfId="5" applyFont="1">
      <alignment wrapText="1"/>
      <protection locked="0"/>
    </xf>
    <xf numFmtId="0" fontId="0" fillId="13" borderId="0" xfId="6" applyFont="1">
      <alignment wrapText="1"/>
    </xf>
    <xf numFmtId="2" fontId="10" fillId="15" borderId="0" xfId="7" applyFont="1" applyFill="1" applyAlignment="1">
      <alignment wrapText="1"/>
    </xf>
    <xf numFmtId="2" fontId="0" fillId="0" borderId="0" xfId="7" applyFont="1"/>
    <xf numFmtId="165" fontId="0" fillId="0" borderId="0" xfId="0" applyNumberFormat="1"/>
    <xf numFmtId="2" fontId="0" fillId="0" borderId="0" xfId="0" applyNumberFormat="1"/>
    <xf numFmtId="9" fontId="0" fillId="0" borderId="0" xfId="0" applyNumberFormat="1"/>
    <xf numFmtId="2" fontId="9" fillId="16" borderId="0" xfId="7" applyFont="1" applyFill="1" applyAlignment="1">
      <alignment wrapText="1"/>
    </xf>
    <xf numFmtId="0" fontId="2" fillId="13" borderId="0" xfId="1" applyFill="1" applyAlignment="1" applyProtection="1">
      <alignment wrapText="1"/>
    </xf>
    <xf numFmtId="10" fontId="0" fillId="0" borderId="0" xfId="0" applyNumberFormat="1"/>
    <xf numFmtId="0" fontId="4" fillId="0" borderId="0" xfId="0" applyFont="1" applyAlignment="1">
      <alignment horizont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1" fillId="0" borderId="1" xfId="0" applyFont="1" applyBorder="1" applyAlignment="1">
      <alignment horizontal="center"/>
    </xf>
    <xf numFmtId="165" fontId="1" fillId="0" borderId="1" xfId="0" applyNumberFormat="1" applyFont="1" applyBorder="1" applyAlignment="1">
      <alignment horizontal="center"/>
    </xf>
    <xf numFmtId="0" fontId="5" fillId="2" borderId="3" xfId="0" applyFont="1" applyFill="1" applyBorder="1" applyAlignment="1">
      <alignment horizontal="center" wrapText="1"/>
    </xf>
    <xf numFmtId="0" fontId="5" fillId="3" borderId="3" xfId="0" applyFont="1" applyFill="1" applyBorder="1" applyAlignment="1">
      <alignment horizontal="center" wrapText="1"/>
    </xf>
    <xf numFmtId="0" fontId="5" fillId="4" borderId="3" xfId="0" applyFont="1" applyFill="1" applyBorder="1" applyAlignment="1">
      <alignment horizontal="center" wrapText="1"/>
    </xf>
    <xf numFmtId="0" fontId="5" fillId="5" borderId="3" xfId="0" applyFont="1" applyFill="1" applyBorder="1" applyAlignment="1">
      <alignment horizontal="center" wrapText="1"/>
    </xf>
    <xf numFmtId="0" fontId="5" fillId="6" borderId="3" xfId="0" applyFont="1" applyFill="1" applyBorder="1" applyAlignment="1">
      <alignment horizontal="center" wrapText="1"/>
    </xf>
    <xf numFmtId="0" fontId="5" fillId="7" borderId="3" xfId="0" applyFont="1" applyFill="1" applyBorder="1" applyAlignment="1">
      <alignment horizontal="center" wrapText="1"/>
    </xf>
    <xf numFmtId="0" fontId="5" fillId="8" borderId="3" xfId="0" applyFont="1" applyFill="1" applyBorder="1" applyAlignment="1">
      <alignment horizontal="center" wrapText="1"/>
    </xf>
    <xf numFmtId="0" fontId="1" fillId="0" borderId="0" xfId="0" applyFont="1" applyAlignment="1">
      <alignment horizontal="center" vertical="center" wrapText="1"/>
    </xf>
    <xf numFmtId="0" fontId="0" fillId="0" borderId="0" xfId="0" applyAlignment="1">
      <alignment vertical="center" wrapText="1"/>
    </xf>
    <xf numFmtId="0" fontId="0" fillId="0" borderId="1" xfId="0" applyBorder="1" applyAlignment="1">
      <alignment horizontal="center"/>
    </xf>
    <xf numFmtId="0" fontId="1" fillId="0" borderId="1" xfId="0" applyFont="1" applyBorder="1"/>
    <xf numFmtId="0" fontId="1" fillId="0" borderId="4" xfId="0" applyFont="1" applyBorder="1"/>
    <xf numFmtId="0" fontId="1" fillId="0" borderId="1" xfId="0" applyFont="1" applyBorder="1" applyAlignment="1">
      <alignment horizontal="center" wrapText="1"/>
    </xf>
    <xf numFmtId="0" fontId="0" fillId="0" borderId="0" xfId="0" applyAlignment="1">
      <alignment wrapText="1"/>
    </xf>
    <xf numFmtId="2" fontId="0" fillId="17" borderId="0" xfId="7" applyFont="1" applyFill="1"/>
    <xf numFmtId="0" fontId="9" fillId="10" borderId="0" xfId="3" applyAlignment="1">
      <alignment horizontal="right" wrapText="1"/>
    </xf>
    <xf numFmtId="2" fontId="0" fillId="17" borderId="0" xfId="0" applyNumberFormat="1" applyFill="1"/>
    <xf numFmtId="2" fontId="9" fillId="19" borderId="0" xfId="7" applyFont="1" applyFill="1" applyAlignment="1">
      <alignment wrapText="1"/>
    </xf>
    <xf numFmtId="2" fontId="10" fillId="20" borderId="0" xfId="7" applyFont="1" applyFill="1" applyAlignment="1">
      <alignment wrapText="1"/>
    </xf>
    <xf numFmtId="2" fontId="9" fillId="9" borderId="0" xfId="2" applyNumberFormat="1"/>
    <xf numFmtId="0" fontId="1" fillId="0" borderId="1" xfId="0" applyFont="1" applyBorder="1" applyAlignment="1">
      <alignment horizontal="left"/>
    </xf>
    <xf numFmtId="0" fontId="2" fillId="0" borderId="0" xfId="1" applyAlignment="1" applyProtection="1">
      <alignment horizontal="left"/>
    </xf>
    <xf numFmtId="0" fontId="0" fillId="0" borderId="0" xfId="0" applyAlignment="1">
      <alignment horizontal="left"/>
    </xf>
    <xf numFmtId="0" fontId="6" fillId="0" borderId="0" xfId="8" applyNumberFormat="1" applyFont="1" applyAlignment="1">
      <alignment horizontal="center" vertical="center"/>
    </xf>
    <xf numFmtId="15" fontId="1" fillId="0" borderId="0" xfId="0" applyNumberFormat="1" applyFont="1"/>
    <xf numFmtId="0" fontId="2" fillId="0" borderId="0" xfId="1" applyAlignment="1" applyProtection="1">
      <alignment horizontal="left" vertical="center"/>
    </xf>
    <xf numFmtId="0" fontId="0" fillId="0" borderId="0" xfId="0" applyAlignment="1">
      <alignment horizontal="left" vertical="center"/>
    </xf>
    <xf numFmtId="0" fontId="0" fillId="0" borderId="0" xfId="0" applyAlignment="1">
      <alignment horizontal="center" vertical="center" textRotation="255"/>
    </xf>
    <xf numFmtId="0" fontId="9" fillId="10" borderId="0" xfId="3" applyAlignment="1">
      <alignment horizontal="center" wrapText="1"/>
    </xf>
    <xf numFmtId="0" fontId="0" fillId="13" borderId="0" xfId="6" applyFont="1" applyAlignment="1">
      <alignment horizontal="center" wrapText="1"/>
    </xf>
    <xf numFmtId="0" fontId="9" fillId="18" borderId="0" xfId="2" applyFill="1" applyAlignment="1">
      <alignment horizontal="center"/>
    </xf>
    <xf numFmtId="0" fontId="1" fillId="0" borderId="1" xfId="0" applyFont="1" applyBorder="1" applyAlignment="1">
      <alignment horizontal="center" vertical="center"/>
    </xf>
  </cellXfs>
  <cellStyles count="9">
    <cellStyle name="Assumptions" xfId="5" xr:uid="{C4B4A37A-AE74-4BD2-A318-EAD170D08E2D}"/>
    <cellStyle name="Background" xfId="2" xr:uid="{4FE65DE3-2C01-4340-9CCF-F1C7CBB02667}"/>
    <cellStyle name="Comma" xfId="8" builtinId="3"/>
    <cellStyle name="Explanations" xfId="6" xr:uid="{A6DA0F58-5B40-44A0-BCAF-B5C224A1BAB5}"/>
    <cellStyle name="Headers" xfId="3" xr:uid="{0E6FF9CC-652C-471B-8855-EDA7BCCD3063}"/>
    <cellStyle name="Hyperlink" xfId="1" builtinId="8"/>
    <cellStyle name="Normal" xfId="0" builtinId="0"/>
    <cellStyle name="Number" xfId="7" xr:uid="{73DFF9F3-FB98-408E-81E2-F3F6F92BFA1E}"/>
    <cellStyle name="Sources" xfId="4" xr:uid="{B3973424-E6B1-47CF-9992-AA0B04C029E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'Home batteries'!$D$8</c:f>
          <c:strCache>
            <c:ptCount val="1"/>
            <c:pt idx="0">
              <c:v>capacity_kWh=10, charging_power_kW=5,charging_efficiency=0.85, proportion_used_in_a_typical_day=0.7</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NL"/>
        </a:p>
      </c:txPr>
    </c:title>
    <c:autoTitleDeleted val="0"/>
    <c:plotArea>
      <c:layout/>
      <c:scatterChart>
        <c:scatterStyle val="lineMarker"/>
        <c:varyColors val="0"/>
        <c:ser>
          <c:idx val="0"/>
          <c:order val="0"/>
          <c:tx>
            <c:strRef>
              <c:f>'Home batteries'!$D$9</c:f>
              <c:strCache>
                <c:ptCount val="1"/>
                <c:pt idx="0">
                  <c:v>Day Ahead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'Home batteries'!$E$8:$K$8</c:f>
              <c:numCache>
                <c:formatCode>General</c:formatCode>
                <c:ptCount val="7"/>
                <c:pt idx="0">
                  <c:v>2018</c:v>
                </c:pt>
                <c:pt idx="1">
                  <c:v>2019</c:v>
                </c:pt>
                <c:pt idx="2">
                  <c:v>2020</c:v>
                </c:pt>
                <c:pt idx="3">
                  <c:v>2021</c:v>
                </c:pt>
                <c:pt idx="4">
                  <c:v>2022</c:v>
                </c:pt>
                <c:pt idx="5">
                  <c:v>2023</c:v>
                </c:pt>
                <c:pt idx="6">
                  <c:v>2024</c:v>
                </c:pt>
              </c:numCache>
            </c:numRef>
          </c:xVal>
          <c:yVal>
            <c:numRef>
              <c:f>'Home batteries'!$E$9:$K$9</c:f>
              <c:numCache>
                <c:formatCode>0.00</c:formatCode>
                <c:ptCount val="7"/>
                <c:pt idx="0">
                  <c:v>0.170829975825946</c:v>
                </c:pt>
                <c:pt idx="1">
                  <c:v>0.15793714746172399</c:v>
                </c:pt>
                <c:pt idx="2">
                  <c:v>0.19607843137254899</c:v>
                </c:pt>
                <c:pt idx="3">
                  <c:v>0.132151490733279</c:v>
                </c:pt>
                <c:pt idx="4">
                  <c:v>0.22240128928283601</c:v>
                </c:pt>
                <c:pt idx="5">
                  <c:v>0.11603545527800101</c:v>
                </c:pt>
                <c:pt idx="6">
                  <c:v>0.14786242365798699</c:v>
                </c:pt>
              </c:numCache>
            </c:numRef>
          </c:yVal>
          <c:smooth val="0"/>
          <c:extLst>
            <c:ext xmlns:c16="http://schemas.microsoft.com/office/drawing/2014/chart" uri="{C3380CC4-5D6E-409C-BE32-E72D297353CC}">
              <c16:uniqueId val="{00000000-B4FD-49A7-8255-2CEE490FF9FE}"/>
            </c:ext>
          </c:extLst>
        </c:ser>
        <c:ser>
          <c:idx val="1"/>
          <c:order val="1"/>
          <c:tx>
            <c:strRef>
              <c:f>'Home batteries'!$D$10</c:f>
              <c:strCache>
                <c:ptCount val="1"/>
                <c:pt idx="0">
                  <c:v>Long Imbalance</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'Home batteries'!$E$8:$K$8</c:f>
              <c:numCache>
                <c:formatCode>General</c:formatCode>
                <c:ptCount val="7"/>
                <c:pt idx="0">
                  <c:v>2018</c:v>
                </c:pt>
                <c:pt idx="1">
                  <c:v>2019</c:v>
                </c:pt>
                <c:pt idx="2">
                  <c:v>2020</c:v>
                </c:pt>
                <c:pt idx="3">
                  <c:v>2021</c:v>
                </c:pt>
                <c:pt idx="4">
                  <c:v>2022</c:v>
                </c:pt>
                <c:pt idx="5">
                  <c:v>2023</c:v>
                </c:pt>
                <c:pt idx="6">
                  <c:v>2024</c:v>
                </c:pt>
              </c:numCache>
            </c:numRef>
          </c:xVal>
          <c:yVal>
            <c:numRef>
              <c:f>'Home batteries'!$E$10:$K$10</c:f>
              <c:numCache>
                <c:formatCode>0.00</c:formatCode>
                <c:ptCount val="7"/>
                <c:pt idx="0">
                  <c:v>4.2707493956486701E-2</c:v>
                </c:pt>
                <c:pt idx="1">
                  <c:v>2.7397260273972601E-2</c:v>
                </c:pt>
                <c:pt idx="2">
                  <c:v>1.56300225008036</c:v>
                </c:pt>
                <c:pt idx="3">
                  <c:v>1.2949234488315799</c:v>
                </c:pt>
                <c:pt idx="4">
                  <c:v>1.0362610797743701</c:v>
                </c:pt>
                <c:pt idx="5">
                  <c:v>1.42062852538275</c:v>
                </c:pt>
                <c:pt idx="6">
                  <c:v>1.7068466730954599</c:v>
                </c:pt>
              </c:numCache>
            </c:numRef>
          </c:yVal>
          <c:smooth val="0"/>
          <c:extLst>
            <c:ext xmlns:c16="http://schemas.microsoft.com/office/drawing/2014/chart" uri="{C3380CC4-5D6E-409C-BE32-E72D297353CC}">
              <c16:uniqueId val="{00000001-B4FD-49A7-8255-2CEE490FF9FE}"/>
            </c:ext>
          </c:extLst>
        </c:ser>
        <c:ser>
          <c:idx val="2"/>
          <c:order val="2"/>
          <c:tx>
            <c:strRef>
              <c:f>'Home batteries'!$D$11</c:f>
              <c:strCache>
                <c:ptCount val="1"/>
                <c:pt idx="0">
                  <c:v>Short Imbalance</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'Home batteries'!$E$8:$K$8</c:f>
              <c:numCache>
                <c:formatCode>General</c:formatCode>
                <c:ptCount val="7"/>
                <c:pt idx="0">
                  <c:v>2018</c:v>
                </c:pt>
                <c:pt idx="1">
                  <c:v>2019</c:v>
                </c:pt>
                <c:pt idx="2">
                  <c:v>2020</c:v>
                </c:pt>
                <c:pt idx="3">
                  <c:v>2021</c:v>
                </c:pt>
                <c:pt idx="4">
                  <c:v>2022</c:v>
                </c:pt>
                <c:pt idx="5">
                  <c:v>2023</c:v>
                </c:pt>
                <c:pt idx="6">
                  <c:v>2024</c:v>
                </c:pt>
              </c:numCache>
            </c:numRef>
          </c:xVal>
          <c:yVal>
            <c:numRef>
              <c:f>'Home batteries'!$E$11:$K$11</c:f>
              <c:numCache>
                <c:formatCode>0.00</c:formatCode>
                <c:ptCount val="7"/>
                <c:pt idx="0">
                  <c:v>0.73005640612409295</c:v>
                </c:pt>
                <c:pt idx="1">
                  <c:v>0.71152296535052295</c:v>
                </c:pt>
                <c:pt idx="2">
                  <c:v>1.8989071038251299</c:v>
                </c:pt>
                <c:pt idx="3">
                  <c:v>1.2643029814665501</c:v>
                </c:pt>
                <c:pt idx="4">
                  <c:v>1.02578565672844</c:v>
                </c:pt>
                <c:pt idx="5">
                  <c:v>1.28928283642224</c:v>
                </c:pt>
                <c:pt idx="6">
                  <c:v>1.34603021536483</c:v>
                </c:pt>
              </c:numCache>
            </c:numRef>
          </c:yVal>
          <c:smooth val="0"/>
          <c:extLst>
            <c:ext xmlns:c16="http://schemas.microsoft.com/office/drawing/2014/chart" uri="{C3380CC4-5D6E-409C-BE32-E72D297353CC}">
              <c16:uniqueId val="{00000002-B4FD-49A7-8255-2CEE490FF9FE}"/>
            </c:ext>
          </c:extLst>
        </c:ser>
        <c:dLbls>
          <c:showLegendKey val="0"/>
          <c:showVal val="0"/>
          <c:showCatName val="0"/>
          <c:showSerName val="0"/>
          <c:showPercent val="0"/>
          <c:showBubbleSize val="0"/>
        </c:dLbls>
        <c:axId val="194164608"/>
        <c:axId val="194163168"/>
      </c:scatterChart>
      <c:valAx>
        <c:axId val="19416460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crossAx val="194163168"/>
        <c:crosses val="autoZero"/>
        <c:crossBetween val="midCat"/>
      </c:valAx>
      <c:valAx>
        <c:axId val="19416316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crossAx val="194164608"/>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'Home batteries'!$D$30</c:f>
          <c:strCache>
            <c:ptCount val="1"/>
            <c:pt idx="0">
              <c:v>capacity_kWh=20, charging_power_kW=5,charging_efficiency=0.85, proportion_used_in_a_typical_day=0.7</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NL"/>
        </a:p>
      </c:txPr>
    </c:title>
    <c:autoTitleDeleted val="0"/>
    <c:plotArea>
      <c:layout/>
      <c:scatterChart>
        <c:scatterStyle val="lineMarker"/>
        <c:varyColors val="0"/>
        <c:ser>
          <c:idx val="0"/>
          <c:order val="0"/>
          <c:tx>
            <c:strRef>
              <c:f>'Home batteries'!$D$31</c:f>
              <c:strCache>
                <c:ptCount val="1"/>
                <c:pt idx="0">
                  <c:v>Day Ahead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'Home batteries'!$E$30:$K$30</c:f>
              <c:numCache>
                <c:formatCode>General</c:formatCode>
                <c:ptCount val="7"/>
                <c:pt idx="0">
                  <c:v>2018</c:v>
                </c:pt>
                <c:pt idx="1">
                  <c:v>2019</c:v>
                </c:pt>
                <c:pt idx="2">
                  <c:v>2020</c:v>
                </c:pt>
                <c:pt idx="3">
                  <c:v>2021</c:v>
                </c:pt>
                <c:pt idx="4">
                  <c:v>2022</c:v>
                </c:pt>
                <c:pt idx="5">
                  <c:v>2023</c:v>
                </c:pt>
                <c:pt idx="6">
                  <c:v>2024</c:v>
                </c:pt>
              </c:numCache>
            </c:numRef>
          </c:xVal>
          <c:yVal>
            <c:numRef>
              <c:f>'Home batteries'!$E$31:$K$31</c:f>
              <c:numCache>
                <c:formatCode>0.00</c:formatCode>
                <c:ptCount val="7"/>
                <c:pt idx="0">
                  <c:v>0.36099919419822701</c:v>
                </c:pt>
                <c:pt idx="1">
                  <c:v>0.39323126510878298</c:v>
                </c:pt>
                <c:pt idx="2">
                  <c:v>0.54323368691738905</c:v>
                </c:pt>
                <c:pt idx="3">
                  <c:v>0.57050765511684098</c:v>
                </c:pt>
                <c:pt idx="4">
                  <c:v>0.50604351329572905</c:v>
                </c:pt>
                <c:pt idx="5">
                  <c:v>0.32232070910555999</c:v>
                </c:pt>
                <c:pt idx="6">
                  <c:v>0.30215364834458303</c:v>
                </c:pt>
              </c:numCache>
            </c:numRef>
          </c:yVal>
          <c:smooth val="0"/>
          <c:extLst>
            <c:ext xmlns:c16="http://schemas.microsoft.com/office/drawing/2014/chart" uri="{C3380CC4-5D6E-409C-BE32-E72D297353CC}">
              <c16:uniqueId val="{00000000-27B5-4EFC-B64C-297BC02648C9}"/>
            </c:ext>
          </c:extLst>
        </c:ser>
        <c:ser>
          <c:idx val="1"/>
          <c:order val="1"/>
          <c:tx>
            <c:strRef>
              <c:f>'Home batteries'!$D$32</c:f>
              <c:strCache>
                <c:ptCount val="1"/>
                <c:pt idx="0">
                  <c:v>Long Imbalance</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'Home batteries'!$E$30:$K$30</c:f>
              <c:numCache>
                <c:formatCode>General</c:formatCode>
                <c:ptCount val="7"/>
                <c:pt idx="0">
                  <c:v>2018</c:v>
                </c:pt>
                <c:pt idx="1">
                  <c:v>2019</c:v>
                </c:pt>
                <c:pt idx="2">
                  <c:v>2020</c:v>
                </c:pt>
                <c:pt idx="3">
                  <c:v>2021</c:v>
                </c:pt>
                <c:pt idx="4">
                  <c:v>2022</c:v>
                </c:pt>
                <c:pt idx="5">
                  <c:v>2023</c:v>
                </c:pt>
                <c:pt idx="6">
                  <c:v>2024</c:v>
                </c:pt>
              </c:numCache>
            </c:numRef>
          </c:xVal>
          <c:yVal>
            <c:numRef>
              <c:f>'Home batteries'!$E$32:$K$32</c:f>
              <c:numCache>
                <c:formatCode>0.00</c:formatCode>
                <c:ptCount val="7"/>
                <c:pt idx="0">
                  <c:v>0.20306204673650199</c:v>
                </c:pt>
                <c:pt idx="1">
                  <c:v>0.17888799355358501</c:v>
                </c:pt>
                <c:pt idx="2">
                  <c:v>2.8471552555448398</c:v>
                </c:pt>
                <c:pt idx="3">
                  <c:v>2.5326349717969299</c:v>
                </c:pt>
                <c:pt idx="4">
                  <c:v>2.13134568896051</c:v>
                </c:pt>
                <c:pt idx="5">
                  <c:v>2.5938759065269901</c:v>
                </c:pt>
                <c:pt idx="6">
                  <c:v>3.1043072966891598</c:v>
                </c:pt>
              </c:numCache>
            </c:numRef>
          </c:yVal>
          <c:smooth val="0"/>
          <c:extLst>
            <c:ext xmlns:c16="http://schemas.microsoft.com/office/drawing/2014/chart" uri="{C3380CC4-5D6E-409C-BE32-E72D297353CC}">
              <c16:uniqueId val="{00000001-27B5-4EFC-B64C-297BC02648C9}"/>
            </c:ext>
          </c:extLst>
        </c:ser>
        <c:ser>
          <c:idx val="2"/>
          <c:order val="2"/>
          <c:tx>
            <c:strRef>
              <c:f>'Home batteries'!$D$33</c:f>
              <c:strCache>
                <c:ptCount val="1"/>
                <c:pt idx="0">
                  <c:v>Short Imbalance</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'Home batteries'!$E$30:$K$30</c:f>
              <c:numCache>
                <c:formatCode>General</c:formatCode>
                <c:ptCount val="7"/>
                <c:pt idx="0">
                  <c:v>2018</c:v>
                </c:pt>
                <c:pt idx="1">
                  <c:v>2019</c:v>
                </c:pt>
                <c:pt idx="2">
                  <c:v>2020</c:v>
                </c:pt>
                <c:pt idx="3">
                  <c:v>2021</c:v>
                </c:pt>
                <c:pt idx="4">
                  <c:v>2022</c:v>
                </c:pt>
                <c:pt idx="5">
                  <c:v>2023</c:v>
                </c:pt>
                <c:pt idx="6">
                  <c:v>2024</c:v>
                </c:pt>
              </c:numCache>
            </c:numRef>
          </c:xVal>
          <c:yVal>
            <c:numRef>
              <c:f>'Home batteries'!$E$33:$K$33</c:f>
              <c:numCache>
                <c:formatCode>0.00</c:formatCode>
                <c:ptCount val="7"/>
                <c:pt idx="0">
                  <c:v>1.09991941982272</c:v>
                </c:pt>
                <c:pt idx="1">
                  <c:v>0.85656728444802499</c:v>
                </c:pt>
                <c:pt idx="2">
                  <c:v>3.2706525233043999</c:v>
                </c:pt>
                <c:pt idx="3">
                  <c:v>2.5858178887993502</c:v>
                </c:pt>
                <c:pt idx="4">
                  <c:v>2.1402095084609098</c:v>
                </c:pt>
                <c:pt idx="5">
                  <c:v>2.34649476228847</c:v>
                </c:pt>
                <c:pt idx="6">
                  <c:v>2.4831243972999002</c:v>
                </c:pt>
              </c:numCache>
            </c:numRef>
          </c:yVal>
          <c:smooth val="0"/>
          <c:extLst>
            <c:ext xmlns:c16="http://schemas.microsoft.com/office/drawing/2014/chart" uri="{C3380CC4-5D6E-409C-BE32-E72D297353CC}">
              <c16:uniqueId val="{00000002-27B5-4EFC-B64C-297BC02648C9}"/>
            </c:ext>
          </c:extLst>
        </c:ser>
        <c:dLbls>
          <c:showLegendKey val="0"/>
          <c:showVal val="0"/>
          <c:showCatName val="0"/>
          <c:showSerName val="0"/>
          <c:showPercent val="0"/>
          <c:showBubbleSize val="0"/>
        </c:dLbls>
        <c:axId val="420085584"/>
        <c:axId val="537710080"/>
      </c:scatterChart>
      <c:valAx>
        <c:axId val="4200855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crossAx val="537710080"/>
        <c:crosses val="autoZero"/>
        <c:crossBetween val="midCat"/>
      </c:valAx>
      <c:valAx>
        <c:axId val="53771008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crossAx val="420085584"/>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N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'Home batteries'!$D$54</c:f>
          <c:strCache>
            <c:ptCount val="1"/>
            <c:pt idx="0">
              <c:v>capacity_kWh=5, charging_power_kW=2.5,charging_efficiency=0.85, proportion_used_in_a_typical_day=0.7</c:v>
            </c:pt>
          </c:strCache>
        </c:strRef>
      </c:tx>
      <c:layout>
        <c:manualLayout>
          <c:xMode val="edge"/>
          <c:yMode val="edge"/>
          <c:x val="0.41227077865266848"/>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NL"/>
        </a:p>
      </c:txPr>
    </c:title>
    <c:autoTitleDeleted val="0"/>
    <c:plotArea>
      <c:layout/>
      <c:scatterChart>
        <c:scatterStyle val="lineMarker"/>
        <c:varyColors val="0"/>
        <c:ser>
          <c:idx val="0"/>
          <c:order val="0"/>
          <c:tx>
            <c:strRef>
              <c:f>'Home batteries'!$D$55</c:f>
              <c:strCache>
                <c:ptCount val="1"/>
                <c:pt idx="0">
                  <c:v>Day Ahead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'Home batteries'!$E$54:$K$54</c:f>
              <c:numCache>
                <c:formatCode>General</c:formatCode>
                <c:ptCount val="7"/>
                <c:pt idx="0">
                  <c:v>2018</c:v>
                </c:pt>
                <c:pt idx="1">
                  <c:v>2019</c:v>
                </c:pt>
                <c:pt idx="2">
                  <c:v>2020</c:v>
                </c:pt>
                <c:pt idx="3">
                  <c:v>2021</c:v>
                </c:pt>
                <c:pt idx="4">
                  <c:v>2022</c:v>
                </c:pt>
                <c:pt idx="5">
                  <c:v>2023</c:v>
                </c:pt>
                <c:pt idx="6">
                  <c:v>2024</c:v>
                </c:pt>
              </c:numCache>
            </c:numRef>
          </c:xVal>
          <c:yVal>
            <c:numRef>
              <c:f>'Home batteries'!$E$55:$K$55</c:f>
              <c:numCache>
                <c:formatCode>0.00</c:formatCode>
                <c:ptCount val="7"/>
                <c:pt idx="0">
                  <c:v>8.5414987912973403E-2</c:v>
                </c:pt>
                <c:pt idx="1">
                  <c:v>7.8968573730862204E-2</c:v>
                </c:pt>
                <c:pt idx="2">
                  <c:v>9.8039215686274495E-2</c:v>
                </c:pt>
                <c:pt idx="3">
                  <c:v>6.6075745366639793E-2</c:v>
                </c:pt>
                <c:pt idx="4">
                  <c:v>0.111200644641418</c:v>
                </c:pt>
                <c:pt idx="5">
                  <c:v>5.8017727639000802E-2</c:v>
                </c:pt>
                <c:pt idx="6">
                  <c:v>7.3931211828993898E-2</c:v>
                </c:pt>
              </c:numCache>
            </c:numRef>
          </c:yVal>
          <c:smooth val="0"/>
          <c:extLst>
            <c:ext xmlns:c16="http://schemas.microsoft.com/office/drawing/2014/chart" uri="{C3380CC4-5D6E-409C-BE32-E72D297353CC}">
              <c16:uniqueId val="{00000000-B900-452E-B5E1-BCACC21DE1CC}"/>
            </c:ext>
          </c:extLst>
        </c:ser>
        <c:ser>
          <c:idx val="1"/>
          <c:order val="1"/>
          <c:tx>
            <c:strRef>
              <c:f>'Home batteries'!$D$56</c:f>
              <c:strCache>
                <c:ptCount val="1"/>
                <c:pt idx="0">
                  <c:v>Long Imbalance</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'Home batteries'!$E$54:$K$54</c:f>
              <c:numCache>
                <c:formatCode>General</c:formatCode>
                <c:ptCount val="7"/>
                <c:pt idx="0">
                  <c:v>2018</c:v>
                </c:pt>
                <c:pt idx="1">
                  <c:v>2019</c:v>
                </c:pt>
                <c:pt idx="2">
                  <c:v>2020</c:v>
                </c:pt>
                <c:pt idx="3">
                  <c:v>2021</c:v>
                </c:pt>
                <c:pt idx="4">
                  <c:v>2022</c:v>
                </c:pt>
                <c:pt idx="5">
                  <c:v>2023</c:v>
                </c:pt>
                <c:pt idx="6">
                  <c:v>2024</c:v>
                </c:pt>
              </c:numCache>
            </c:numRef>
          </c:xVal>
          <c:yVal>
            <c:numRef>
              <c:f>'Home batteries'!$E$56:$K$56</c:f>
              <c:numCache>
                <c:formatCode>0.00</c:formatCode>
                <c:ptCount val="7"/>
                <c:pt idx="0">
                  <c:v>2.1353746978243299E-2</c:v>
                </c:pt>
                <c:pt idx="1">
                  <c:v>1.3698630136986301E-2</c:v>
                </c:pt>
                <c:pt idx="2">
                  <c:v>0.78150112504017999</c:v>
                </c:pt>
                <c:pt idx="3">
                  <c:v>0.64746172441579297</c:v>
                </c:pt>
                <c:pt idx="4">
                  <c:v>0.51813053988718705</c:v>
                </c:pt>
                <c:pt idx="5">
                  <c:v>0.71031426269137699</c:v>
                </c:pt>
                <c:pt idx="6">
                  <c:v>0.85342333654773395</c:v>
                </c:pt>
              </c:numCache>
            </c:numRef>
          </c:yVal>
          <c:smooth val="0"/>
          <c:extLst>
            <c:ext xmlns:c16="http://schemas.microsoft.com/office/drawing/2014/chart" uri="{C3380CC4-5D6E-409C-BE32-E72D297353CC}">
              <c16:uniqueId val="{00000001-B900-452E-B5E1-BCACC21DE1CC}"/>
            </c:ext>
          </c:extLst>
        </c:ser>
        <c:ser>
          <c:idx val="2"/>
          <c:order val="2"/>
          <c:tx>
            <c:strRef>
              <c:f>'Home batteries'!$D$57</c:f>
              <c:strCache>
                <c:ptCount val="1"/>
                <c:pt idx="0">
                  <c:v>Short Imbalance</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'Home batteries'!$E$54:$K$54</c:f>
              <c:numCache>
                <c:formatCode>General</c:formatCode>
                <c:ptCount val="7"/>
                <c:pt idx="0">
                  <c:v>2018</c:v>
                </c:pt>
                <c:pt idx="1">
                  <c:v>2019</c:v>
                </c:pt>
                <c:pt idx="2">
                  <c:v>2020</c:v>
                </c:pt>
                <c:pt idx="3">
                  <c:v>2021</c:v>
                </c:pt>
                <c:pt idx="4">
                  <c:v>2022</c:v>
                </c:pt>
                <c:pt idx="5">
                  <c:v>2023</c:v>
                </c:pt>
                <c:pt idx="6">
                  <c:v>2024</c:v>
                </c:pt>
              </c:numCache>
            </c:numRef>
          </c:xVal>
          <c:yVal>
            <c:numRef>
              <c:f>'Home batteries'!$E$57:$K$57</c:f>
              <c:numCache>
                <c:formatCode>0.00</c:formatCode>
                <c:ptCount val="7"/>
                <c:pt idx="0">
                  <c:v>0.36502820306204598</c:v>
                </c:pt>
                <c:pt idx="1">
                  <c:v>0.35576148267526098</c:v>
                </c:pt>
                <c:pt idx="2">
                  <c:v>0.94945355191256797</c:v>
                </c:pt>
                <c:pt idx="3">
                  <c:v>0.63215149073327903</c:v>
                </c:pt>
                <c:pt idx="5">
                  <c:v>0.64464141821111998</c:v>
                </c:pt>
                <c:pt idx="6">
                  <c:v>0.67301510768241701</c:v>
                </c:pt>
              </c:numCache>
            </c:numRef>
          </c:yVal>
          <c:smooth val="0"/>
          <c:extLst>
            <c:ext xmlns:c16="http://schemas.microsoft.com/office/drawing/2014/chart" uri="{C3380CC4-5D6E-409C-BE32-E72D297353CC}">
              <c16:uniqueId val="{00000002-B900-452E-B5E1-BCACC21DE1CC}"/>
            </c:ext>
          </c:extLst>
        </c:ser>
        <c:dLbls>
          <c:showLegendKey val="0"/>
          <c:showVal val="0"/>
          <c:showCatName val="0"/>
          <c:showSerName val="0"/>
          <c:showPercent val="0"/>
          <c:showBubbleSize val="0"/>
        </c:dLbls>
        <c:axId val="1003698112"/>
        <c:axId val="1003699552"/>
      </c:scatterChart>
      <c:valAx>
        <c:axId val="100369811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crossAx val="1003699552"/>
        <c:crosses val="autoZero"/>
        <c:crossBetween val="midCat"/>
      </c:valAx>
      <c:valAx>
        <c:axId val="100369955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crossAx val="100369811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N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'Home batteries'!$D$40</c:f>
          <c:strCache>
            <c:ptCount val="1"/>
            <c:pt idx="0">
              <c:v>capacity_kWh=20, charging_power_kW=10,charging_efficiency=0.85, proportion_used_in_a_typical_day=0.7</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NL"/>
        </a:p>
      </c:txPr>
    </c:title>
    <c:autoTitleDeleted val="0"/>
    <c:plotArea>
      <c:layout/>
      <c:scatterChart>
        <c:scatterStyle val="lineMarker"/>
        <c:varyColors val="0"/>
        <c:ser>
          <c:idx val="0"/>
          <c:order val="0"/>
          <c:tx>
            <c:strRef>
              <c:f>'Home batteries'!$D$41</c:f>
              <c:strCache>
                <c:ptCount val="1"/>
                <c:pt idx="0">
                  <c:v>Day Ahead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'Home batteries'!$E$40:$K$40</c:f>
              <c:numCache>
                <c:formatCode>General</c:formatCode>
                <c:ptCount val="7"/>
                <c:pt idx="0">
                  <c:v>2018</c:v>
                </c:pt>
                <c:pt idx="1">
                  <c:v>2019</c:v>
                </c:pt>
                <c:pt idx="2">
                  <c:v>2020</c:v>
                </c:pt>
                <c:pt idx="3">
                  <c:v>2021</c:v>
                </c:pt>
                <c:pt idx="4">
                  <c:v>2022</c:v>
                </c:pt>
                <c:pt idx="5">
                  <c:v>2023</c:v>
                </c:pt>
                <c:pt idx="6">
                  <c:v>2024</c:v>
                </c:pt>
              </c:numCache>
            </c:numRef>
          </c:xVal>
          <c:yVal>
            <c:numRef>
              <c:f>'Home batteries'!$E$41:$K$41</c:f>
              <c:numCache>
                <c:formatCode>0.00</c:formatCode>
                <c:ptCount val="7"/>
                <c:pt idx="0">
                  <c:v>0.341659951651893</c:v>
                </c:pt>
                <c:pt idx="1">
                  <c:v>0.31587429492344798</c:v>
                </c:pt>
                <c:pt idx="2">
                  <c:v>0.39215686274509798</c:v>
                </c:pt>
                <c:pt idx="3">
                  <c:v>0.26430298146655901</c:v>
                </c:pt>
                <c:pt idx="4">
                  <c:v>0.44480257856567201</c:v>
                </c:pt>
                <c:pt idx="5">
                  <c:v>0.23207091055600301</c:v>
                </c:pt>
                <c:pt idx="6">
                  <c:v>0.29572484731597498</c:v>
                </c:pt>
              </c:numCache>
            </c:numRef>
          </c:yVal>
          <c:smooth val="0"/>
          <c:extLst>
            <c:ext xmlns:c16="http://schemas.microsoft.com/office/drawing/2014/chart" uri="{C3380CC4-5D6E-409C-BE32-E72D297353CC}">
              <c16:uniqueId val="{00000000-D854-40C4-B634-607DA27B0DA1}"/>
            </c:ext>
          </c:extLst>
        </c:ser>
        <c:ser>
          <c:idx val="1"/>
          <c:order val="1"/>
          <c:tx>
            <c:strRef>
              <c:f>'Home batteries'!$D$42</c:f>
              <c:strCache>
                <c:ptCount val="1"/>
                <c:pt idx="0">
                  <c:v>Long Imbalance</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'Home batteries'!$E$40:$K$40</c:f>
              <c:numCache>
                <c:formatCode>General</c:formatCode>
                <c:ptCount val="7"/>
                <c:pt idx="0">
                  <c:v>2018</c:v>
                </c:pt>
                <c:pt idx="1">
                  <c:v>2019</c:v>
                </c:pt>
                <c:pt idx="2">
                  <c:v>2020</c:v>
                </c:pt>
                <c:pt idx="3">
                  <c:v>2021</c:v>
                </c:pt>
                <c:pt idx="4">
                  <c:v>2022</c:v>
                </c:pt>
                <c:pt idx="5">
                  <c:v>2023</c:v>
                </c:pt>
                <c:pt idx="6">
                  <c:v>2024</c:v>
                </c:pt>
              </c:numCache>
            </c:numRef>
          </c:xVal>
          <c:yVal>
            <c:numRef>
              <c:f>'Home batteries'!$E$42:$K$42</c:f>
              <c:numCache>
                <c:formatCode>0.00</c:formatCode>
                <c:ptCount val="7"/>
                <c:pt idx="0">
                  <c:v>8.5414987912973403E-2</c:v>
                </c:pt>
                <c:pt idx="1">
                  <c:v>5.4794520547945202E-2</c:v>
                </c:pt>
                <c:pt idx="2">
                  <c:v>3.12600450016072</c:v>
                </c:pt>
                <c:pt idx="3">
                  <c:v>2.5898468976631701</c:v>
                </c:pt>
                <c:pt idx="4">
                  <c:v>2.07252215954875</c:v>
                </c:pt>
                <c:pt idx="5">
                  <c:v>2.8412570507655102</c:v>
                </c:pt>
                <c:pt idx="6">
                  <c:v>3.41369334619093</c:v>
                </c:pt>
              </c:numCache>
            </c:numRef>
          </c:yVal>
          <c:smooth val="0"/>
          <c:extLst>
            <c:ext xmlns:c16="http://schemas.microsoft.com/office/drawing/2014/chart" uri="{C3380CC4-5D6E-409C-BE32-E72D297353CC}">
              <c16:uniqueId val="{00000001-D854-40C4-B634-607DA27B0DA1}"/>
            </c:ext>
          </c:extLst>
        </c:ser>
        <c:ser>
          <c:idx val="2"/>
          <c:order val="2"/>
          <c:tx>
            <c:strRef>
              <c:f>'Home batteries'!$D$43</c:f>
              <c:strCache>
                <c:ptCount val="1"/>
                <c:pt idx="0">
                  <c:v>Short Imbalance</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'Home batteries'!$E$40:$K$40</c:f>
              <c:numCache>
                <c:formatCode>General</c:formatCode>
                <c:ptCount val="7"/>
                <c:pt idx="0">
                  <c:v>2018</c:v>
                </c:pt>
                <c:pt idx="1">
                  <c:v>2019</c:v>
                </c:pt>
                <c:pt idx="2">
                  <c:v>2020</c:v>
                </c:pt>
                <c:pt idx="3">
                  <c:v>2021</c:v>
                </c:pt>
                <c:pt idx="4">
                  <c:v>2022</c:v>
                </c:pt>
                <c:pt idx="5">
                  <c:v>2023</c:v>
                </c:pt>
                <c:pt idx="6">
                  <c:v>2024</c:v>
                </c:pt>
              </c:numCache>
            </c:numRef>
          </c:xVal>
          <c:yVal>
            <c:numRef>
              <c:f>'Home batteries'!$E$43:$K$43</c:f>
              <c:numCache>
                <c:formatCode>0.00</c:formatCode>
                <c:ptCount val="7"/>
                <c:pt idx="0">
                  <c:v>1.4601128122481799</c:v>
                </c:pt>
                <c:pt idx="1">
                  <c:v>1.4230459307010399</c:v>
                </c:pt>
                <c:pt idx="2">
                  <c:v>3.7978142076502701</c:v>
                </c:pt>
                <c:pt idx="3">
                  <c:v>2.5286059629331099</c:v>
                </c:pt>
                <c:pt idx="4">
                  <c:v>2.0515713134568898</c:v>
                </c:pt>
                <c:pt idx="5">
                  <c:v>2.5785656728444799</c:v>
                </c:pt>
                <c:pt idx="6">
                  <c:v>2.6920604307296601</c:v>
                </c:pt>
              </c:numCache>
            </c:numRef>
          </c:yVal>
          <c:smooth val="0"/>
          <c:extLst>
            <c:ext xmlns:c16="http://schemas.microsoft.com/office/drawing/2014/chart" uri="{C3380CC4-5D6E-409C-BE32-E72D297353CC}">
              <c16:uniqueId val="{00000002-D854-40C4-B634-607DA27B0DA1}"/>
            </c:ext>
          </c:extLst>
        </c:ser>
        <c:dLbls>
          <c:showLegendKey val="0"/>
          <c:showVal val="0"/>
          <c:showCatName val="0"/>
          <c:showSerName val="0"/>
          <c:showPercent val="0"/>
          <c:showBubbleSize val="0"/>
        </c:dLbls>
        <c:axId val="476659280"/>
        <c:axId val="476659760"/>
      </c:scatterChart>
      <c:valAx>
        <c:axId val="47665928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crossAx val="476659760"/>
        <c:crosses val="autoZero"/>
        <c:crossBetween val="midCat"/>
      </c:valAx>
      <c:valAx>
        <c:axId val="47665976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crossAx val="476659280"/>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N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26</xdr:col>
      <xdr:colOff>0</xdr:colOff>
      <xdr:row>17</xdr:row>
      <xdr:rowOff>0</xdr:rowOff>
    </xdr:from>
    <xdr:to>
      <xdr:col>26</xdr:col>
      <xdr:colOff>304800</xdr:colOff>
      <xdr:row>17</xdr:row>
      <xdr:rowOff>308161</xdr:rowOff>
    </xdr:to>
    <xdr:sp macro="" textlink="">
      <xdr:nvSpPr>
        <xdr:cNvPr id="1025" name="AutoShape 1" descr="icon">
          <a:extLst>
            <a:ext uri="{FF2B5EF4-FFF2-40B4-BE49-F238E27FC236}">
              <a16:creationId xmlns:a16="http://schemas.microsoft.com/office/drawing/2014/main" id="{44C02E86-6419-F1C9-AB77-ACFA56CE0903}"/>
            </a:ext>
          </a:extLst>
        </xdr:cNvPr>
        <xdr:cNvSpPr>
          <a:spLocks noChangeAspect="1" noChangeArrowheads="1"/>
        </xdr:cNvSpPr>
      </xdr:nvSpPr>
      <xdr:spPr bwMode="auto">
        <a:xfrm>
          <a:off x="16992600" y="409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26</xdr:col>
      <xdr:colOff>0</xdr:colOff>
      <xdr:row>20</xdr:row>
      <xdr:rowOff>0</xdr:rowOff>
    </xdr:from>
    <xdr:to>
      <xdr:col>26</xdr:col>
      <xdr:colOff>304800</xdr:colOff>
      <xdr:row>21</xdr:row>
      <xdr:rowOff>109629</xdr:rowOff>
    </xdr:to>
    <xdr:sp macro="" textlink="">
      <xdr:nvSpPr>
        <xdr:cNvPr id="1026" name="AutoShape 2" descr="icon">
          <a:extLst>
            <a:ext uri="{FF2B5EF4-FFF2-40B4-BE49-F238E27FC236}">
              <a16:creationId xmlns:a16="http://schemas.microsoft.com/office/drawing/2014/main" id="{CF5DA159-D11E-AFF5-6F1E-7D37EE0652E2}"/>
            </a:ext>
          </a:extLst>
        </xdr:cNvPr>
        <xdr:cNvSpPr>
          <a:spLocks noChangeAspect="1" noChangeArrowheads="1"/>
        </xdr:cNvSpPr>
      </xdr:nvSpPr>
      <xdr:spPr bwMode="auto">
        <a:xfrm>
          <a:off x="16992600" y="609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26</xdr:col>
      <xdr:colOff>0</xdr:colOff>
      <xdr:row>18</xdr:row>
      <xdr:rowOff>0</xdr:rowOff>
    </xdr:from>
    <xdr:to>
      <xdr:col>26</xdr:col>
      <xdr:colOff>304800</xdr:colOff>
      <xdr:row>19</xdr:row>
      <xdr:rowOff>109629</xdr:rowOff>
    </xdr:to>
    <xdr:sp macro="" textlink="">
      <xdr:nvSpPr>
        <xdr:cNvPr id="1027" name="AutoShape 3" descr="icon">
          <a:extLst>
            <a:ext uri="{FF2B5EF4-FFF2-40B4-BE49-F238E27FC236}">
              <a16:creationId xmlns:a16="http://schemas.microsoft.com/office/drawing/2014/main" id="{A191A73E-8957-D593-DEC7-D258C2DFD6DB}"/>
            </a:ext>
          </a:extLst>
        </xdr:cNvPr>
        <xdr:cNvSpPr>
          <a:spLocks noChangeAspect="1" noChangeArrowheads="1"/>
        </xdr:cNvSpPr>
      </xdr:nvSpPr>
      <xdr:spPr bwMode="auto">
        <a:xfrm>
          <a:off x="16992600" y="809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26</xdr:col>
      <xdr:colOff>0</xdr:colOff>
      <xdr:row>19</xdr:row>
      <xdr:rowOff>0</xdr:rowOff>
    </xdr:from>
    <xdr:to>
      <xdr:col>26</xdr:col>
      <xdr:colOff>304800</xdr:colOff>
      <xdr:row>20</xdr:row>
      <xdr:rowOff>109633</xdr:rowOff>
    </xdr:to>
    <xdr:sp macro="" textlink="">
      <xdr:nvSpPr>
        <xdr:cNvPr id="1028" name="AutoShape 4" descr="icon">
          <a:extLst>
            <a:ext uri="{FF2B5EF4-FFF2-40B4-BE49-F238E27FC236}">
              <a16:creationId xmlns:a16="http://schemas.microsoft.com/office/drawing/2014/main" id="{448F8D95-982D-ED1A-9214-890005D34AD8}"/>
            </a:ext>
          </a:extLst>
        </xdr:cNvPr>
        <xdr:cNvSpPr>
          <a:spLocks noChangeAspect="1" noChangeArrowheads="1"/>
        </xdr:cNvSpPr>
      </xdr:nvSpPr>
      <xdr:spPr bwMode="auto">
        <a:xfrm>
          <a:off x="16992600" y="1009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26</xdr:col>
      <xdr:colOff>0</xdr:colOff>
      <xdr:row>21</xdr:row>
      <xdr:rowOff>0</xdr:rowOff>
    </xdr:from>
    <xdr:to>
      <xdr:col>26</xdr:col>
      <xdr:colOff>304800</xdr:colOff>
      <xdr:row>22</xdr:row>
      <xdr:rowOff>114300</xdr:rowOff>
    </xdr:to>
    <xdr:sp macro="" textlink="">
      <xdr:nvSpPr>
        <xdr:cNvPr id="1029" name="AutoShape 5" descr="icon">
          <a:extLst>
            <a:ext uri="{FF2B5EF4-FFF2-40B4-BE49-F238E27FC236}">
              <a16:creationId xmlns:a16="http://schemas.microsoft.com/office/drawing/2014/main" id="{F78F7FEB-6CB8-F3B3-86A0-9879992F9B05}"/>
            </a:ext>
          </a:extLst>
        </xdr:cNvPr>
        <xdr:cNvSpPr>
          <a:spLocks noChangeAspect="1" noChangeArrowheads="1"/>
        </xdr:cNvSpPr>
      </xdr:nvSpPr>
      <xdr:spPr bwMode="auto">
        <a:xfrm>
          <a:off x="16992600" y="1209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26</xdr:col>
      <xdr:colOff>0</xdr:colOff>
      <xdr:row>5</xdr:row>
      <xdr:rowOff>0</xdr:rowOff>
    </xdr:from>
    <xdr:to>
      <xdr:col>26</xdr:col>
      <xdr:colOff>304800</xdr:colOff>
      <xdr:row>5</xdr:row>
      <xdr:rowOff>308161</xdr:rowOff>
    </xdr:to>
    <xdr:sp macro="" textlink="">
      <xdr:nvSpPr>
        <xdr:cNvPr id="1030" name="AutoShape 6" descr="icon">
          <a:extLst>
            <a:ext uri="{FF2B5EF4-FFF2-40B4-BE49-F238E27FC236}">
              <a16:creationId xmlns:a16="http://schemas.microsoft.com/office/drawing/2014/main" id="{EC6AF9F7-4616-67F3-A7F1-19A3DFD83F56}"/>
            </a:ext>
          </a:extLst>
        </xdr:cNvPr>
        <xdr:cNvSpPr>
          <a:spLocks noChangeAspect="1" noChangeArrowheads="1"/>
        </xdr:cNvSpPr>
      </xdr:nvSpPr>
      <xdr:spPr bwMode="auto">
        <a:xfrm>
          <a:off x="16992600" y="1409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26</xdr:col>
      <xdr:colOff>0</xdr:colOff>
      <xdr:row>1</xdr:row>
      <xdr:rowOff>0</xdr:rowOff>
    </xdr:from>
    <xdr:to>
      <xdr:col>26</xdr:col>
      <xdr:colOff>304800</xdr:colOff>
      <xdr:row>2</xdr:row>
      <xdr:rowOff>109631</xdr:rowOff>
    </xdr:to>
    <xdr:sp macro="" textlink="">
      <xdr:nvSpPr>
        <xdr:cNvPr id="1031" name="AutoShape 7" descr="icon">
          <a:extLst>
            <a:ext uri="{FF2B5EF4-FFF2-40B4-BE49-F238E27FC236}">
              <a16:creationId xmlns:a16="http://schemas.microsoft.com/office/drawing/2014/main" id="{AACD68C8-CB85-3FE3-BF1B-58791078C662}"/>
            </a:ext>
          </a:extLst>
        </xdr:cNvPr>
        <xdr:cNvSpPr>
          <a:spLocks noChangeAspect="1" noChangeArrowheads="1"/>
        </xdr:cNvSpPr>
      </xdr:nvSpPr>
      <xdr:spPr bwMode="auto">
        <a:xfrm>
          <a:off x="16992600" y="1609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22</xdr:row>
      <xdr:rowOff>0</xdr:rowOff>
    </xdr:from>
    <xdr:to>
      <xdr:col>27</xdr:col>
      <xdr:colOff>304800</xdr:colOff>
      <xdr:row>23</xdr:row>
      <xdr:rowOff>112619</xdr:rowOff>
    </xdr:to>
    <xdr:sp macro="" textlink="">
      <xdr:nvSpPr>
        <xdr:cNvPr id="1032" name="AutoShape 8" descr="icon">
          <a:extLst>
            <a:ext uri="{FF2B5EF4-FFF2-40B4-BE49-F238E27FC236}">
              <a16:creationId xmlns:a16="http://schemas.microsoft.com/office/drawing/2014/main" id="{64928A5F-8A73-0D63-7A83-A1C37629DCFB}"/>
            </a:ext>
          </a:extLst>
        </xdr:cNvPr>
        <xdr:cNvSpPr>
          <a:spLocks noChangeAspect="1" noChangeArrowheads="1"/>
        </xdr:cNvSpPr>
      </xdr:nvSpPr>
      <xdr:spPr bwMode="auto">
        <a:xfrm>
          <a:off x="16383000" y="2247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11</xdr:row>
      <xdr:rowOff>0</xdr:rowOff>
    </xdr:from>
    <xdr:to>
      <xdr:col>27</xdr:col>
      <xdr:colOff>304800</xdr:colOff>
      <xdr:row>13</xdr:row>
      <xdr:rowOff>81455</xdr:rowOff>
    </xdr:to>
    <xdr:sp macro="" textlink="">
      <xdr:nvSpPr>
        <xdr:cNvPr id="1033" name="AutoShape 9" descr="icon">
          <a:extLst>
            <a:ext uri="{FF2B5EF4-FFF2-40B4-BE49-F238E27FC236}">
              <a16:creationId xmlns:a16="http://schemas.microsoft.com/office/drawing/2014/main" id="{1DF70912-725E-B481-5BC2-8A541D7F5CCF}"/>
            </a:ext>
          </a:extLst>
        </xdr:cNvPr>
        <xdr:cNvSpPr>
          <a:spLocks noChangeAspect="1" noChangeArrowheads="1"/>
        </xdr:cNvSpPr>
      </xdr:nvSpPr>
      <xdr:spPr bwMode="auto">
        <a:xfrm>
          <a:off x="16383000" y="2447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8</xdr:row>
      <xdr:rowOff>0</xdr:rowOff>
    </xdr:from>
    <xdr:to>
      <xdr:col>27</xdr:col>
      <xdr:colOff>304800</xdr:colOff>
      <xdr:row>9</xdr:row>
      <xdr:rowOff>99919</xdr:rowOff>
    </xdr:to>
    <xdr:sp macro="" textlink="">
      <xdr:nvSpPr>
        <xdr:cNvPr id="1034" name="AutoShape 10" descr="icon">
          <a:extLst>
            <a:ext uri="{FF2B5EF4-FFF2-40B4-BE49-F238E27FC236}">
              <a16:creationId xmlns:a16="http://schemas.microsoft.com/office/drawing/2014/main" id="{2105ADE6-24ED-9DB0-0BE3-9901E0CF0AAB}"/>
            </a:ext>
          </a:extLst>
        </xdr:cNvPr>
        <xdr:cNvSpPr>
          <a:spLocks noChangeAspect="1" noChangeArrowheads="1"/>
        </xdr:cNvSpPr>
      </xdr:nvSpPr>
      <xdr:spPr bwMode="auto">
        <a:xfrm>
          <a:off x="16383000" y="264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35" name="AutoShape 11" descr="icon">
          <a:extLst>
            <a:ext uri="{FF2B5EF4-FFF2-40B4-BE49-F238E27FC236}">
              <a16:creationId xmlns:a16="http://schemas.microsoft.com/office/drawing/2014/main" id="{1A3C704C-9A7E-E5A6-5C15-E3D1355F0E0D}"/>
            </a:ext>
          </a:extLst>
        </xdr:cNvPr>
        <xdr:cNvSpPr>
          <a:spLocks noChangeAspect="1" noChangeArrowheads="1"/>
        </xdr:cNvSpPr>
      </xdr:nvSpPr>
      <xdr:spPr bwMode="auto">
        <a:xfrm>
          <a:off x="16383000" y="28479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36" name="AutoShape 12" descr="icon">
          <a:extLst>
            <a:ext uri="{FF2B5EF4-FFF2-40B4-BE49-F238E27FC236}">
              <a16:creationId xmlns:a16="http://schemas.microsoft.com/office/drawing/2014/main" id="{BCEFDEBB-2747-D2C3-CEEB-08A903F269D9}"/>
            </a:ext>
          </a:extLst>
        </xdr:cNvPr>
        <xdr:cNvSpPr>
          <a:spLocks noChangeAspect="1" noChangeArrowheads="1"/>
        </xdr:cNvSpPr>
      </xdr:nvSpPr>
      <xdr:spPr bwMode="auto">
        <a:xfrm>
          <a:off x="16383000" y="3048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7</xdr:row>
      <xdr:rowOff>0</xdr:rowOff>
    </xdr:from>
    <xdr:to>
      <xdr:col>27</xdr:col>
      <xdr:colOff>304800</xdr:colOff>
      <xdr:row>8</xdr:row>
      <xdr:rowOff>117475</xdr:rowOff>
    </xdr:to>
    <xdr:sp macro="" textlink="">
      <xdr:nvSpPr>
        <xdr:cNvPr id="1037" name="AutoShape 13" descr="icon">
          <a:extLst>
            <a:ext uri="{FF2B5EF4-FFF2-40B4-BE49-F238E27FC236}">
              <a16:creationId xmlns:a16="http://schemas.microsoft.com/office/drawing/2014/main" id="{36703A99-BC8C-B2F2-5F9E-28A075CB842C}"/>
            </a:ext>
          </a:extLst>
        </xdr:cNvPr>
        <xdr:cNvSpPr>
          <a:spLocks noChangeAspect="1" noChangeArrowheads="1"/>
        </xdr:cNvSpPr>
      </xdr:nvSpPr>
      <xdr:spPr bwMode="auto">
        <a:xfrm>
          <a:off x="16383000" y="3248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32</xdr:row>
      <xdr:rowOff>0</xdr:rowOff>
    </xdr:from>
    <xdr:to>
      <xdr:col>27</xdr:col>
      <xdr:colOff>304800</xdr:colOff>
      <xdr:row>33</xdr:row>
      <xdr:rowOff>114300</xdr:rowOff>
    </xdr:to>
    <xdr:sp macro="" textlink="">
      <xdr:nvSpPr>
        <xdr:cNvPr id="1038" name="AutoShape 14" descr="icon">
          <a:extLst>
            <a:ext uri="{FF2B5EF4-FFF2-40B4-BE49-F238E27FC236}">
              <a16:creationId xmlns:a16="http://schemas.microsoft.com/office/drawing/2014/main" id="{9A321AE5-F675-E0D5-7D3C-BCF3886E403F}"/>
            </a:ext>
          </a:extLst>
        </xdr:cNvPr>
        <xdr:cNvSpPr>
          <a:spLocks noChangeAspect="1" noChangeArrowheads="1"/>
        </xdr:cNvSpPr>
      </xdr:nvSpPr>
      <xdr:spPr bwMode="auto">
        <a:xfrm>
          <a:off x="16383000" y="3448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22</xdr:row>
      <xdr:rowOff>0</xdr:rowOff>
    </xdr:from>
    <xdr:to>
      <xdr:col>27</xdr:col>
      <xdr:colOff>304800</xdr:colOff>
      <xdr:row>23</xdr:row>
      <xdr:rowOff>112619</xdr:rowOff>
    </xdr:to>
    <xdr:sp macro="" textlink="">
      <xdr:nvSpPr>
        <xdr:cNvPr id="1039" name="AutoShape 15" descr="icon">
          <a:extLst>
            <a:ext uri="{FF2B5EF4-FFF2-40B4-BE49-F238E27FC236}">
              <a16:creationId xmlns:a16="http://schemas.microsoft.com/office/drawing/2014/main" id="{83CD390D-7A20-A07F-5530-2F1F3EE81FB4}"/>
            </a:ext>
          </a:extLst>
        </xdr:cNvPr>
        <xdr:cNvSpPr>
          <a:spLocks noChangeAspect="1" noChangeArrowheads="1"/>
        </xdr:cNvSpPr>
      </xdr:nvSpPr>
      <xdr:spPr bwMode="auto">
        <a:xfrm>
          <a:off x="16383000" y="229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11</xdr:row>
      <xdr:rowOff>0</xdr:rowOff>
    </xdr:from>
    <xdr:to>
      <xdr:col>27</xdr:col>
      <xdr:colOff>304800</xdr:colOff>
      <xdr:row>13</xdr:row>
      <xdr:rowOff>81455</xdr:rowOff>
    </xdr:to>
    <xdr:sp macro="" textlink="">
      <xdr:nvSpPr>
        <xdr:cNvPr id="1040" name="AutoShape 16" descr="icon">
          <a:extLst>
            <a:ext uri="{FF2B5EF4-FFF2-40B4-BE49-F238E27FC236}">
              <a16:creationId xmlns:a16="http://schemas.microsoft.com/office/drawing/2014/main" id="{55B6CED1-8D10-0F9B-B413-0353A0B1B05B}"/>
            </a:ext>
          </a:extLst>
        </xdr:cNvPr>
        <xdr:cNvSpPr>
          <a:spLocks noChangeAspect="1" noChangeArrowheads="1"/>
        </xdr:cNvSpPr>
      </xdr:nvSpPr>
      <xdr:spPr bwMode="auto">
        <a:xfrm>
          <a:off x="16383000" y="2495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8</xdr:row>
      <xdr:rowOff>0</xdr:rowOff>
    </xdr:from>
    <xdr:to>
      <xdr:col>27</xdr:col>
      <xdr:colOff>304800</xdr:colOff>
      <xdr:row>9</xdr:row>
      <xdr:rowOff>99919</xdr:rowOff>
    </xdr:to>
    <xdr:sp macro="" textlink="">
      <xdr:nvSpPr>
        <xdr:cNvPr id="1041" name="AutoShape 17" descr="icon">
          <a:extLst>
            <a:ext uri="{FF2B5EF4-FFF2-40B4-BE49-F238E27FC236}">
              <a16:creationId xmlns:a16="http://schemas.microsoft.com/office/drawing/2014/main" id="{1117EE64-07D8-4401-0549-BF23D7AC2E57}"/>
            </a:ext>
          </a:extLst>
        </xdr:cNvPr>
        <xdr:cNvSpPr>
          <a:spLocks noChangeAspect="1" noChangeArrowheads="1"/>
        </xdr:cNvSpPr>
      </xdr:nvSpPr>
      <xdr:spPr bwMode="auto">
        <a:xfrm>
          <a:off x="16383000" y="2695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42" name="AutoShape 18" descr="icon">
          <a:extLst>
            <a:ext uri="{FF2B5EF4-FFF2-40B4-BE49-F238E27FC236}">
              <a16:creationId xmlns:a16="http://schemas.microsoft.com/office/drawing/2014/main" id="{CD0D58CB-197B-897F-BAAF-153C2ED8E521}"/>
            </a:ext>
          </a:extLst>
        </xdr:cNvPr>
        <xdr:cNvSpPr>
          <a:spLocks noChangeAspect="1" noChangeArrowheads="1"/>
        </xdr:cNvSpPr>
      </xdr:nvSpPr>
      <xdr:spPr bwMode="auto">
        <a:xfrm>
          <a:off x="16383000" y="2895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43" name="AutoShape 19" descr="icon">
          <a:extLst>
            <a:ext uri="{FF2B5EF4-FFF2-40B4-BE49-F238E27FC236}">
              <a16:creationId xmlns:a16="http://schemas.microsoft.com/office/drawing/2014/main" id="{C43E0FDB-3AF2-EDCB-8CEA-AF850567E7FA}"/>
            </a:ext>
          </a:extLst>
        </xdr:cNvPr>
        <xdr:cNvSpPr>
          <a:spLocks noChangeAspect="1" noChangeArrowheads="1"/>
        </xdr:cNvSpPr>
      </xdr:nvSpPr>
      <xdr:spPr bwMode="auto">
        <a:xfrm>
          <a:off x="16383000" y="309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7</xdr:row>
      <xdr:rowOff>0</xdr:rowOff>
    </xdr:from>
    <xdr:to>
      <xdr:col>27</xdr:col>
      <xdr:colOff>304800</xdr:colOff>
      <xdr:row>8</xdr:row>
      <xdr:rowOff>117475</xdr:rowOff>
    </xdr:to>
    <xdr:sp macro="" textlink="">
      <xdr:nvSpPr>
        <xdr:cNvPr id="1044" name="AutoShape 20" descr="icon">
          <a:extLst>
            <a:ext uri="{FF2B5EF4-FFF2-40B4-BE49-F238E27FC236}">
              <a16:creationId xmlns:a16="http://schemas.microsoft.com/office/drawing/2014/main" id="{42DE3D4F-63D0-4AFC-93CC-6BF30B953A74}"/>
            </a:ext>
          </a:extLst>
        </xdr:cNvPr>
        <xdr:cNvSpPr>
          <a:spLocks noChangeAspect="1" noChangeArrowheads="1"/>
        </xdr:cNvSpPr>
      </xdr:nvSpPr>
      <xdr:spPr bwMode="auto">
        <a:xfrm>
          <a:off x="16383000" y="329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32</xdr:row>
      <xdr:rowOff>0</xdr:rowOff>
    </xdr:from>
    <xdr:to>
      <xdr:col>27</xdr:col>
      <xdr:colOff>304800</xdr:colOff>
      <xdr:row>33</xdr:row>
      <xdr:rowOff>114300</xdr:rowOff>
    </xdr:to>
    <xdr:sp macro="" textlink="">
      <xdr:nvSpPr>
        <xdr:cNvPr id="1045" name="AutoShape 21" descr="icon">
          <a:extLst>
            <a:ext uri="{FF2B5EF4-FFF2-40B4-BE49-F238E27FC236}">
              <a16:creationId xmlns:a16="http://schemas.microsoft.com/office/drawing/2014/main" id="{04E5FB73-6D25-2FBC-7FD5-99653224278E}"/>
            </a:ext>
          </a:extLst>
        </xdr:cNvPr>
        <xdr:cNvSpPr>
          <a:spLocks noChangeAspect="1" noChangeArrowheads="1"/>
        </xdr:cNvSpPr>
      </xdr:nvSpPr>
      <xdr:spPr bwMode="auto">
        <a:xfrm>
          <a:off x="16383000" y="3495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29</xdr:col>
      <xdr:colOff>447675</xdr:colOff>
      <xdr:row>8</xdr:row>
      <xdr:rowOff>161925</xdr:rowOff>
    </xdr:from>
    <xdr:to>
      <xdr:col>30</xdr:col>
      <xdr:colOff>149224</xdr:colOff>
      <xdr:row>10</xdr:row>
      <xdr:rowOff>80870</xdr:rowOff>
    </xdr:to>
    <xdr:sp macro="" textlink="">
      <xdr:nvSpPr>
        <xdr:cNvPr id="1046" name="AutoShape 22" descr="icon">
          <a:extLst>
            <a:ext uri="{FF2B5EF4-FFF2-40B4-BE49-F238E27FC236}">
              <a16:creationId xmlns:a16="http://schemas.microsoft.com/office/drawing/2014/main" id="{ABFDEAE8-02AC-74E8-AF4D-93F2F4F09641}"/>
            </a:ext>
          </a:extLst>
        </xdr:cNvPr>
        <xdr:cNvSpPr>
          <a:spLocks noChangeAspect="1" noChangeArrowheads="1"/>
        </xdr:cNvSpPr>
      </xdr:nvSpPr>
      <xdr:spPr bwMode="auto">
        <a:xfrm>
          <a:off x="18869025" y="528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11</xdr:row>
      <xdr:rowOff>0</xdr:rowOff>
    </xdr:from>
    <xdr:to>
      <xdr:col>27</xdr:col>
      <xdr:colOff>304800</xdr:colOff>
      <xdr:row>13</xdr:row>
      <xdr:rowOff>81455</xdr:rowOff>
    </xdr:to>
    <xdr:sp macro="" textlink="">
      <xdr:nvSpPr>
        <xdr:cNvPr id="1047" name="AutoShape 23" descr="icon">
          <a:extLst>
            <a:ext uri="{FF2B5EF4-FFF2-40B4-BE49-F238E27FC236}">
              <a16:creationId xmlns:a16="http://schemas.microsoft.com/office/drawing/2014/main" id="{3B06460A-388A-F1F3-BD93-B0DB0488F1B3}"/>
            </a:ext>
          </a:extLst>
        </xdr:cNvPr>
        <xdr:cNvSpPr>
          <a:spLocks noChangeAspect="1" noChangeArrowheads="1"/>
        </xdr:cNvSpPr>
      </xdr:nvSpPr>
      <xdr:spPr bwMode="auto">
        <a:xfrm>
          <a:off x="16383000" y="2495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8</xdr:row>
      <xdr:rowOff>0</xdr:rowOff>
    </xdr:from>
    <xdr:to>
      <xdr:col>27</xdr:col>
      <xdr:colOff>304800</xdr:colOff>
      <xdr:row>9</xdr:row>
      <xdr:rowOff>99919</xdr:rowOff>
    </xdr:to>
    <xdr:sp macro="" textlink="">
      <xdr:nvSpPr>
        <xdr:cNvPr id="1048" name="AutoShape 24" descr="icon">
          <a:extLst>
            <a:ext uri="{FF2B5EF4-FFF2-40B4-BE49-F238E27FC236}">
              <a16:creationId xmlns:a16="http://schemas.microsoft.com/office/drawing/2014/main" id="{5BCA6833-82B4-9363-C066-0BF66DBAA757}"/>
            </a:ext>
          </a:extLst>
        </xdr:cNvPr>
        <xdr:cNvSpPr>
          <a:spLocks noChangeAspect="1" noChangeArrowheads="1"/>
        </xdr:cNvSpPr>
      </xdr:nvSpPr>
      <xdr:spPr bwMode="auto">
        <a:xfrm>
          <a:off x="16383000" y="2695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49" name="AutoShape 25" descr="icon">
          <a:extLst>
            <a:ext uri="{FF2B5EF4-FFF2-40B4-BE49-F238E27FC236}">
              <a16:creationId xmlns:a16="http://schemas.microsoft.com/office/drawing/2014/main" id="{6184B310-2B03-B941-A156-72FB3E7C003F}"/>
            </a:ext>
          </a:extLst>
        </xdr:cNvPr>
        <xdr:cNvSpPr>
          <a:spLocks noChangeAspect="1" noChangeArrowheads="1"/>
        </xdr:cNvSpPr>
      </xdr:nvSpPr>
      <xdr:spPr bwMode="auto">
        <a:xfrm>
          <a:off x="16383000" y="2895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50" name="AutoShape 26" descr="icon">
          <a:extLst>
            <a:ext uri="{FF2B5EF4-FFF2-40B4-BE49-F238E27FC236}">
              <a16:creationId xmlns:a16="http://schemas.microsoft.com/office/drawing/2014/main" id="{D19B68FC-6372-BFB5-0BDC-3147E772FE69}"/>
            </a:ext>
          </a:extLst>
        </xdr:cNvPr>
        <xdr:cNvSpPr>
          <a:spLocks noChangeAspect="1" noChangeArrowheads="1"/>
        </xdr:cNvSpPr>
      </xdr:nvSpPr>
      <xdr:spPr bwMode="auto">
        <a:xfrm>
          <a:off x="16383000" y="309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7</xdr:row>
      <xdr:rowOff>0</xdr:rowOff>
    </xdr:from>
    <xdr:to>
      <xdr:col>27</xdr:col>
      <xdr:colOff>304800</xdr:colOff>
      <xdr:row>8</xdr:row>
      <xdr:rowOff>117475</xdr:rowOff>
    </xdr:to>
    <xdr:sp macro="" textlink="">
      <xdr:nvSpPr>
        <xdr:cNvPr id="1051" name="AutoShape 27" descr="icon">
          <a:extLst>
            <a:ext uri="{FF2B5EF4-FFF2-40B4-BE49-F238E27FC236}">
              <a16:creationId xmlns:a16="http://schemas.microsoft.com/office/drawing/2014/main" id="{89249D31-F680-E0EC-9AEF-A8B1A30F33C9}"/>
            </a:ext>
          </a:extLst>
        </xdr:cNvPr>
        <xdr:cNvSpPr>
          <a:spLocks noChangeAspect="1" noChangeArrowheads="1"/>
        </xdr:cNvSpPr>
      </xdr:nvSpPr>
      <xdr:spPr bwMode="auto">
        <a:xfrm>
          <a:off x="16383000" y="329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32</xdr:row>
      <xdr:rowOff>0</xdr:rowOff>
    </xdr:from>
    <xdr:to>
      <xdr:col>27</xdr:col>
      <xdr:colOff>304800</xdr:colOff>
      <xdr:row>33</xdr:row>
      <xdr:rowOff>114300</xdr:rowOff>
    </xdr:to>
    <xdr:sp macro="" textlink="">
      <xdr:nvSpPr>
        <xdr:cNvPr id="1052" name="AutoShape 28" descr="icon">
          <a:extLst>
            <a:ext uri="{FF2B5EF4-FFF2-40B4-BE49-F238E27FC236}">
              <a16:creationId xmlns:a16="http://schemas.microsoft.com/office/drawing/2014/main" id="{72487F5C-729E-8046-C9AD-F2602D99018C}"/>
            </a:ext>
          </a:extLst>
        </xdr:cNvPr>
        <xdr:cNvSpPr>
          <a:spLocks noChangeAspect="1" noChangeArrowheads="1"/>
        </xdr:cNvSpPr>
      </xdr:nvSpPr>
      <xdr:spPr bwMode="auto">
        <a:xfrm>
          <a:off x="16383000" y="3495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22</xdr:row>
      <xdr:rowOff>0</xdr:rowOff>
    </xdr:from>
    <xdr:to>
      <xdr:col>27</xdr:col>
      <xdr:colOff>304800</xdr:colOff>
      <xdr:row>23</xdr:row>
      <xdr:rowOff>112619</xdr:rowOff>
    </xdr:to>
    <xdr:sp macro="" textlink="">
      <xdr:nvSpPr>
        <xdr:cNvPr id="1053" name="AutoShape 29" descr="icon">
          <a:extLst>
            <a:ext uri="{FF2B5EF4-FFF2-40B4-BE49-F238E27FC236}">
              <a16:creationId xmlns:a16="http://schemas.microsoft.com/office/drawing/2014/main" id="{7CFA53F8-B2AE-AE0C-2957-84AA7E176DFA}"/>
            </a:ext>
          </a:extLst>
        </xdr:cNvPr>
        <xdr:cNvSpPr>
          <a:spLocks noChangeAspect="1" noChangeArrowheads="1"/>
        </xdr:cNvSpPr>
      </xdr:nvSpPr>
      <xdr:spPr bwMode="auto">
        <a:xfrm>
          <a:off x="16383000" y="250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11</xdr:row>
      <xdr:rowOff>0</xdr:rowOff>
    </xdr:from>
    <xdr:to>
      <xdr:col>27</xdr:col>
      <xdr:colOff>304800</xdr:colOff>
      <xdr:row>13</xdr:row>
      <xdr:rowOff>81455</xdr:rowOff>
    </xdr:to>
    <xdr:sp macro="" textlink="">
      <xdr:nvSpPr>
        <xdr:cNvPr id="1054" name="AutoShape 30" descr="icon">
          <a:extLst>
            <a:ext uri="{FF2B5EF4-FFF2-40B4-BE49-F238E27FC236}">
              <a16:creationId xmlns:a16="http://schemas.microsoft.com/office/drawing/2014/main" id="{BCBC44D0-8DDD-A579-A29B-C443B9138171}"/>
            </a:ext>
          </a:extLst>
        </xdr:cNvPr>
        <xdr:cNvSpPr>
          <a:spLocks noChangeAspect="1" noChangeArrowheads="1"/>
        </xdr:cNvSpPr>
      </xdr:nvSpPr>
      <xdr:spPr bwMode="auto">
        <a:xfrm>
          <a:off x="16383000" y="2705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8</xdr:row>
      <xdr:rowOff>0</xdr:rowOff>
    </xdr:from>
    <xdr:to>
      <xdr:col>27</xdr:col>
      <xdr:colOff>304800</xdr:colOff>
      <xdr:row>9</xdr:row>
      <xdr:rowOff>99919</xdr:rowOff>
    </xdr:to>
    <xdr:sp macro="" textlink="">
      <xdr:nvSpPr>
        <xdr:cNvPr id="1055" name="AutoShape 31" descr="icon">
          <a:extLst>
            <a:ext uri="{FF2B5EF4-FFF2-40B4-BE49-F238E27FC236}">
              <a16:creationId xmlns:a16="http://schemas.microsoft.com/office/drawing/2014/main" id="{C6D2118C-F330-BD6A-4F2E-981AF6592478}"/>
            </a:ext>
          </a:extLst>
        </xdr:cNvPr>
        <xdr:cNvSpPr>
          <a:spLocks noChangeAspect="1" noChangeArrowheads="1"/>
        </xdr:cNvSpPr>
      </xdr:nvSpPr>
      <xdr:spPr bwMode="auto">
        <a:xfrm>
          <a:off x="16383000" y="2905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56" name="AutoShape 32" descr="icon">
          <a:extLst>
            <a:ext uri="{FF2B5EF4-FFF2-40B4-BE49-F238E27FC236}">
              <a16:creationId xmlns:a16="http://schemas.microsoft.com/office/drawing/2014/main" id="{90ADCC13-1916-2E69-AECD-EA1D68CC02E3}"/>
            </a:ext>
          </a:extLst>
        </xdr:cNvPr>
        <xdr:cNvSpPr>
          <a:spLocks noChangeAspect="1" noChangeArrowheads="1"/>
        </xdr:cNvSpPr>
      </xdr:nvSpPr>
      <xdr:spPr bwMode="auto">
        <a:xfrm>
          <a:off x="16383000" y="3105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57" name="AutoShape 33" descr="icon">
          <a:extLst>
            <a:ext uri="{FF2B5EF4-FFF2-40B4-BE49-F238E27FC236}">
              <a16:creationId xmlns:a16="http://schemas.microsoft.com/office/drawing/2014/main" id="{57AC1C17-D1BA-DF4A-7625-82090E8DCD39}"/>
            </a:ext>
          </a:extLst>
        </xdr:cNvPr>
        <xdr:cNvSpPr>
          <a:spLocks noChangeAspect="1" noChangeArrowheads="1"/>
        </xdr:cNvSpPr>
      </xdr:nvSpPr>
      <xdr:spPr bwMode="auto">
        <a:xfrm>
          <a:off x="16383000" y="33051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7</xdr:row>
      <xdr:rowOff>0</xdr:rowOff>
    </xdr:from>
    <xdr:to>
      <xdr:col>27</xdr:col>
      <xdr:colOff>304800</xdr:colOff>
      <xdr:row>8</xdr:row>
      <xdr:rowOff>117475</xdr:rowOff>
    </xdr:to>
    <xdr:sp macro="" textlink="">
      <xdr:nvSpPr>
        <xdr:cNvPr id="1058" name="AutoShape 34" descr="icon">
          <a:extLst>
            <a:ext uri="{FF2B5EF4-FFF2-40B4-BE49-F238E27FC236}">
              <a16:creationId xmlns:a16="http://schemas.microsoft.com/office/drawing/2014/main" id="{4B8C74EF-6D61-DA45-9DA2-8AB48224765E}"/>
            </a:ext>
          </a:extLst>
        </xdr:cNvPr>
        <xdr:cNvSpPr>
          <a:spLocks noChangeAspect="1" noChangeArrowheads="1"/>
        </xdr:cNvSpPr>
      </xdr:nvSpPr>
      <xdr:spPr bwMode="auto">
        <a:xfrm>
          <a:off x="16383000" y="3505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32</xdr:row>
      <xdr:rowOff>0</xdr:rowOff>
    </xdr:from>
    <xdr:to>
      <xdr:col>27</xdr:col>
      <xdr:colOff>304800</xdr:colOff>
      <xdr:row>33</xdr:row>
      <xdr:rowOff>114300</xdr:rowOff>
    </xdr:to>
    <xdr:sp macro="" textlink="">
      <xdr:nvSpPr>
        <xdr:cNvPr id="1059" name="AutoShape 35" descr="icon">
          <a:extLst>
            <a:ext uri="{FF2B5EF4-FFF2-40B4-BE49-F238E27FC236}">
              <a16:creationId xmlns:a16="http://schemas.microsoft.com/office/drawing/2014/main" id="{503F757A-3A18-3219-F797-E6712228B4A4}"/>
            </a:ext>
          </a:extLst>
        </xdr:cNvPr>
        <xdr:cNvSpPr>
          <a:spLocks noChangeAspect="1" noChangeArrowheads="1"/>
        </xdr:cNvSpPr>
      </xdr:nvSpPr>
      <xdr:spPr bwMode="auto">
        <a:xfrm>
          <a:off x="16383000" y="3705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22</xdr:row>
      <xdr:rowOff>0</xdr:rowOff>
    </xdr:from>
    <xdr:to>
      <xdr:col>27</xdr:col>
      <xdr:colOff>304800</xdr:colOff>
      <xdr:row>23</xdr:row>
      <xdr:rowOff>112619</xdr:rowOff>
    </xdr:to>
    <xdr:sp macro="" textlink="">
      <xdr:nvSpPr>
        <xdr:cNvPr id="1060" name="AutoShape 36" descr="icon">
          <a:extLst>
            <a:ext uri="{FF2B5EF4-FFF2-40B4-BE49-F238E27FC236}">
              <a16:creationId xmlns:a16="http://schemas.microsoft.com/office/drawing/2014/main" id="{BC235C4D-A6E0-65A5-06FB-1269AC64DAF0}"/>
            </a:ext>
          </a:extLst>
        </xdr:cNvPr>
        <xdr:cNvSpPr>
          <a:spLocks noChangeAspect="1" noChangeArrowheads="1"/>
        </xdr:cNvSpPr>
      </xdr:nvSpPr>
      <xdr:spPr bwMode="auto">
        <a:xfrm>
          <a:off x="16383000" y="250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11</xdr:row>
      <xdr:rowOff>0</xdr:rowOff>
    </xdr:from>
    <xdr:to>
      <xdr:col>27</xdr:col>
      <xdr:colOff>304800</xdr:colOff>
      <xdr:row>13</xdr:row>
      <xdr:rowOff>81455</xdr:rowOff>
    </xdr:to>
    <xdr:sp macro="" textlink="">
      <xdr:nvSpPr>
        <xdr:cNvPr id="1061" name="AutoShape 37" descr="icon">
          <a:extLst>
            <a:ext uri="{FF2B5EF4-FFF2-40B4-BE49-F238E27FC236}">
              <a16:creationId xmlns:a16="http://schemas.microsoft.com/office/drawing/2014/main" id="{5208F0E0-7321-B9D2-AED9-07B5CF7D799B}"/>
            </a:ext>
          </a:extLst>
        </xdr:cNvPr>
        <xdr:cNvSpPr>
          <a:spLocks noChangeAspect="1" noChangeArrowheads="1"/>
        </xdr:cNvSpPr>
      </xdr:nvSpPr>
      <xdr:spPr bwMode="auto">
        <a:xfrm>
          <a:off x="16383000" y="2705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8</xdr:row>
      <xdr:rowOff>0</xdr:rowOff>
    </xdr:from>
    <xdr:to>
      <xdr:col>27</xdr:col>
      <xdr:colOff>304800</xdr:colOff>
      <xdr:row>9</xdr:row>
      <xdr:rowOff>99919</xdr:rowOff>
    </xdr:to>
    <xdr:sp macro="" textlink="">
      <xdr:nvSpPr>
        <xdr:cNvPr id="1062" name="AutoShape 38" descr="icon">
          <a:extLst>
            <a:ext uri="{FF2B5EF4-FFF2-40B4-BE49-F238E27FC236}">
              <a16:creationId xmlns:a16="http://schemas.microsoft.com/office/drawing/2014/main" id="{D4BA48DE-181C-8F68-7509-CCD7AEF356C7}"/>
            </a:ext>
          </a:extLst>
        </xdr:cNvPr>
        <xdr:cNvSpPr>
          <a:spLocks noChangeAspect="1" noChangeArrowheads="1"/>
        </xdr:cNvSpPr>
      </xdr:nvSpPr>
      <xdr:spPr bwMode="auto">
        <a:xfrm>
          <a:off x="16383000" y="2905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63" name="AutoShape 39" descr="icon">
          <a:extLst>
            <a:ext uri="{FF2B5EF4-FFF2-40B4-BE49-F238E27FC236}">
              <a16:creationId xmlns:a16="http://schemas.microsoft.com/office/drawing/2014/main" id="{B04AE118-26C9-9DFD-2857-9D0DF81786D5}"/>
            </a:ext>
          </a:extLst>
        </xdr:cNvPr>
        <xdr:cNvSpPr>
          <a:spLocks noChangeAspect="1" noChangeArrowheads="1"/>
        </xdr:cNvSpPr>
      </xdr:nvSpPr>
      <xdr:spPr bwMode="auto">
        <a:xfrm>
          <a:off x="16383000" y="3105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64" name="AutoShape 40" descr="icon">
          <a:extLst>
            <a:ext uri="{FF2B5EF4-FFF2-40B4-BE49-F238E27FC236}">
              <a16:creationId xmlns:a16="http://schemas.microsoft.com/office/drawing/2014/main" id="{C3280968-BC9B-9FF8-721D-AAE5E46FC624}"/>
            </a:ext>
          </a:extLst>
        </xdr:cNvPr>
        <xdr:cNvSpPr>
          <a:spLocks noChangeAspect="1" noChangeArrowheads="1"/>
        </xdr:cNvSpPr>
      </xdr:nvSpPr>
      <xdr:spPr bwMode="auto">
        <a:xfrm>
          <a:off x="16383000" y="33051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7</xdr:row>
      <xdr:rowOff>0</xdr:rowOff>
    </xdr:from>
    <xdr:to>
      <xdr:col>27</xdr:col>
      <xdr:colOff>304800</xdr:colOff>
      <xdr:row>8</xdr:row>
      <xdr:rowOff>117475</xdr:rowOff>
    </xdr:to>
    <xdr:sp macro="" textlink="">
      <xdr:nvSpPr>
        <xdr:cNvPr id="1065" name="AutoShape 41" descr="icon">
          <a:extLst>
            <a:ext uri="{FF2B5EF4-FFF2-40B4-BE49-F238E27FC236}">
              <a16:creationId xmlns:a16="http://schemas.microsoft.com/office/drawing/2014/main" id="{A50DC99A-EA0C-A751-53BC-F3F5467E64AA}"/>
            </a:ext>
          </a:extLst>
        </xdr:cNvPr>
        <xdr:cNvSpPr>
          <a:spLocks noChangeAspect="1" noChangeArrowheads="1"/>
        </xdr:cNvSpPr>
      </xdr:nvSpPr>
      <xdr:spPr bwMode="auto">
        <a:xfrm>
          <a:off x="16383000" y="3505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32</xdr:row>
      <xdr:rowOff>0</xdr:rowOff>
    </xdr:from>
    <xdr:to>
      <xdr:col>27</xdr:col>
      <xdr:colOff>304800</xdr:colOff>
      <xdr:row>33</xdr:row>
      <xdr:rowOff>114300</xdr:rowOff>
    </xdr:to>
    <xdr:sp macro="" textlink="">
      <xdr:nvSpPr>
        <xdr:cNvPr id="1066" name="AutoShape 42" descr="icon">
          <a:extLst>
            <a:ext uri="{FF2B5EF4-FFF2-40B4-BE49-F238E27FC236}">
              <a16:creationId xmlns:a16="http://schemas.microsoft.com/office/drawing/2014/main" id="{333AA83A-412F-8BE5-F202-17C33DD4A6F4}"/>
            </a:ext>
          </a:extLst>
        </xdr:cNvPr>
        <xdr:cNvSpPr>
          <a:spLocks noChangeAspect="1" noChangeArrowheads="1"/>
        </xdr:cNvSpPr>
      </xdr:nvSpPr>
      <xdr:spPr bwMode="auto">
        <a:xfrm>
          <a:off x="16383000" y="3705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22</xdr:row>
      <xdr:rowOff>0</xdr:rowOff>
    </xdr:from>
    <xdr:to>
      <xdr:col>27</xdr:col>
      <xdr:colOff>304800</xdr:colOff>
      <xdr:row>23</xdr:row>
      <xdr:rowOff>112619</xdr:rowOff>
    </xdr:to>
    <xdr:sp macro="" textlink="">
      <xdr:nvSpPr>
        <xdr:cNvPr id="1067" name="AutoShape 43" descr="icon">
          <a:extLst>
            <a:ext uri="{FF2B5EF4-FFF2-40B4-BE49-F238E27FC236}">
              <a16:creationId xmlns:a16="http://schemas.microsoft.com/office/drawing/2014/main" id="{71223B6B-3FC5-0D04-8DE1-EC98343FA4F3}"/>
            </a:ext>
          </a:extLst>
        </xdr:cNvPr>
        <xdr:cNvSpPr>
          <a:spLocks noChangeAspect="1" noChangeArrowheads="1"/>
        </xdr:cNvSpPr>
      </xdr:nvSpPr>
      <xdr:spPr bwMode="auto">
        <a:xfrm>
          <a:off x="16383000" y="2705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11</xdr:row>
      <xdr:rowOff>0</xdr:rowOff>
    </xdr:from>
    <xdr:to>
      <xdr:col>27</xdr:col>
      <xdr:colOff>304800</xdr:colOff>
      <xdr:row>13</xdr:row>
      <xdr:rowOff>81455</xdr:rowOff>
    </xdr:to>
    <xdr:sp macro="" textlink="">
      <xdr:nvSpPr>
        <xdr:cNvPr id="1068" name="AutoShape 44" descr="icon">
          <a:extLst>
            <a:ext uri="{FF2B5EF4-FFF2-40B4-BE49-F238E27FC236}">
              <a16:creationId xmlns:a16="http://schemas.microsoft.com/office/drawing/2014/main" id="{BC0C78E7-BD85-0E59-B5F1-91F923A7449D}"/>
            </a:ext>
          </a:extLst>
        </xdr:cNvPr>
        <xdr:cNvSpPr>
          <a:spLocks noChangeAspect="1" noChangeArrowheads="1"/>
        </xdr:cNvSpPr>
      </xdr:nvSpPr>
      <xdr:spPr bwMode="auto">
        <a:xfrm>
          <a:off x="16383000" y="2905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8</xdr:row>
      <xdr:rowOff>0</xdr:rowOff>
    </xdr:from>
    <xdr:to>
      <xdr:col>27</xdr:col>
      <xdr:colOff>304800</xdr:colOff>
      <xdr:row>9</xdr:row>
      <xdr:rowOff>99919</xdr:rowOff>
    </xdr:to>
    <xdr:sp macro="" textlink="">
      <xdr:nvSpPr>
        <xdr:cNvPr id="1069" name="AutoShape 45" descr="icon">
          <a:extLst>
            <a:ext uri="{FF2B5EF4-FFF2-40B4-BE49-F238E27FC236}">
              <a16:creationId xmlns:a16="http://schemas.microsoft.com/office/drawing/2014/main" id="{9A4021E7-BE6F-EC18-AA3A-4AA380D90668}"/>
            </a:ext>
          </a:extLst>
        </xdr:cNvPr>
        <xdr:cNvSpPr>
          <a:spLocks noChangeAspect="1" noChangeArrowheads="1"/>
        </xdr:cNvSpPr>
      </xdr:nvSpPr>
      <xdr:spPr bwMode="auto">
        <a:xfrm>
          <a:off x="16383000" y="3105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70" name="AutoShape 46" descr="icon">
          <a:extLst>
            <a:ext uri="{FF2B5EF4-FFF2-40B4-BE49-F238E27FC236}">
              <a16:creationId xmlns:a16="http://schemas.microsoft.com/office/drawing/2014/main" id="{0379922C-6839-930F-C011-6ADBE2E5B14F}"/>
            </a:ext>
          </a:extLst>
        </xdr:cNvPr>
        <xdr:cNvSpPr>
          <a:spLocks noChangeAspect="1" noChangeArrowheads="1"/>
        </xdr:cNvSpPr>
      </xdr:nvSpPr>
      <xdr:spPr bwMode="auto">
        <a:xfrm>
          <a:off x="16383000" y="33051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71" name="AutoShape 47" descr="icon">
          <a:extLst>
            <a:ext uri="{FF2B5EF4-FFF2-40B4-BE49-F238E27FC236}">
              <a16:creationId xmlns:a16="http://schemas.microsoft.com/office/drawing/2014/main" id="{584C1E13-289E-C66B-1DF6-40BAF5FAE2C5}"/>
            </a:ext>
          </a:extLst>
        </xdr:cNvPr>
        <xdr:cNvSpPr>
          <a:spLocks noChangeAspect="1" noChangeArrowheads="1"/>
        </xdr:cNvSpPr>
      </xdr:nvSpPr>
      <xdr:spPr bwMode="auto">
        <a:xfrm>
          <a:off x="16383000" y="3505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7</xdr:row>
      <xdr:rowOff>0</xdr:rowOff>
    </xdr:from>
    <xdr:to>
      <xdr:col>27</xdr:col>
      <xdr:colOff>304800</xdr:colOff>
      <xdr:row>8</xdr:row>
      <xdr:rowOff>117475</xdr:rowOff>
    </xdr:to>
    <xdr:sp macro="" textlink="">
      <xdr:nvSpPr>
        <xdr:cNvPr id="1072" name="AutoShape 48" descr="icon">
          <a:extLst>
            <a:ext uri="{FF2B5EF4-FFF2-40B4-BE49-F238E27FC236}">
              <a16:creationId xmlns:a16="http://schemas.microsoft.com/office/drawing/2014/main" id="{4FD61346-966B-37C3-2821-CAF54DD38C8C}"/>
            </a:ext>
          </a:extLst>
        </xdr:cNvPr>
        <xdr:cNvSpPr>
          <a:spLocks noChangeAspect="1" noChangeArrowheads="1"/>
        </xdr:cNvSpPr>
      </xdr:nvSpPr>
      <xdr:spPr bwMode="auto">
        <a:xfrm>
          <a:off x="16383000" y="3705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32</xdr:row>
      <xdr:rowOff>0</xdr:rowOff>
    </xdr:from>
    <xdr:to>
      <xdr:col>27</xdr:col>
      <xdr:colOff>304800</xdr:colOff>
      <xdr:row>33</xdr:row>
      <xdr:rowOff>114300</xdr:rowOff>
    </xdr:to>
    <xdr:sp macro="" textlink="">
      <xdr:nvSpPr>
        <xdr:cNvPr id="1073" name="AutoShape 49" descr="icon">
          <a:extLst>
            <a:ext uri="{FF2B5EF4-FFF2-40B4-BE49-F238E27FC236}">
              <a16:creationId xmlns:a16="http://schemas.microsoft.com/office/drawing/2014/main" id="{825B116E-9742-F6F4-6D37-C99F25CC686B}"/>
            </a:ext>
          </a:extLst>
        </xdr:cNvPr>
        <xdr:cNvSpPr>
          <a:spLocks noChangeAspect="1" noChangeArrowheads="1"/>
        </xdr:cNvSpPr>
      </xdr:nvSpPr>
      <xdr:spPr bwMode="auto">
        <a:xfrm>
          <a:off x="16383000" y="3905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22</xdr:row>
      <xdr:rowOff>0</xdr:rowOff>
    </xdr:from>
    <xdr:to>
      <xdr:col>27</xdr:col>
      <xdr:colOff>304800</xdr:colOff>
      <xdr:row>23</xdr:row>
      <xdr:rowOff>112619</xdr:rowOff>
    </xdr:to>
    <xdr:sp macro="" textlink="">
      <xdr:nvSpPr>
        <xdr:cNvPr id="1074" name="AutoShape 50" descr="icon">
          <a:extLst>
            <a:ext uri="{FF2B5EF4-FFF2-40B4-BE49-F238E27FC236}">
              <a16:creationId xmlns:a16="http://schemas.microsoft.com/office/drawing/2014/main" id="{0CBD2874-1A81-1E91-95AF-067394D19C59}"/>
            </a:ext>
          </a:extLst>
        </xdr:cNvPr>
        <xdr:cNvSpPr>
          <a:spLocks noChangeAspect="1" noChangeArrowheads="1"/>
        </xdr:cNvSpPr>
      </xdr:nvSpPr>
      <xdr:spPr bwMode="auto">
        <a:xfrm>
          <a:off x="16383000" y="4905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11</xdr:row>
      <xdr:rowOff>0</xdr:rowOff>
    </xdr:from>
    <xdr:to>
      <xdr:col>27</xdr:col>
      <xdr:colOff>304800</xdr:colOff>
      <xdr:row>13</xdr:row>
      <xdr:rowOff>81455</xdr:rowOff>
    </xdr:to>
    <xdr:sp macro="" textlink="">
      <xdr:nvSpPr>
        <xdr:cNvPr id="1075" name="AutoShape 51" descr="icon">
          <a:extLst>
            <a:ext uri="{FF2B5EF4-FFF2-40B4-BE49-F238E27FC236}">
              <a16:creationId xmlns:a16="http://schemas.microsoft.com/office/drawing/2014/main" id="{EA54A685-DEDF-6FA9-E611-A940AEDA074A}"/>
            </a:ext>
          </a:extLst>
        </xdr:cNvPr>
        <xdr:cNvSpPr>
          <a:spLocks noChangeAspect="1" noChangeArrowheads="1"/>
        </xdr:cNvSpPr>
      </xdr:nvSpPr>
      <xdr:spPr bwMode="auto">
        <a:xfrm>
          <a:off x="16383000" y="5105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8</xdr:row>
      <xdr:rowOff>0</xdr:rowOff>
    </xdr:from>
    <xdr:to>
      <xdr:col>27</xdr:col>
      <xdr:colOff>304800</xdr:colOff>
      <xdr:row>9</xdr:row>
      <xdr:rowOff>99919</xdr:rowOff>
    </xdr:to>
    <xdr:sp macro="" textlink="">
      <xdr:nvSpPr>
        <xdr:cNvPr id="1076" name="AutoShape 52" descr="icon">
          <a:extLst>
            <a:ext uri="{FF2B5EF4-FFF2-40B4-BE49-F238E27FC236}">
              <a16:creationId xmlns:a16="http://schemas.microsoft.com/office/drawing/2014/main" id="{AFC30AB3-184D-E8BE-F1B6-FF1FDB5FE6FB}"/>
            </a:ext>
          </a:extLst>
        </xdr:cNvPr>
        <xdr:cNvSpPr>
          <a:spLocks noChangeAspect="1" noChangeArrowheads="1"/>
        </xdr:cNvSpPr>
      </xdr:nvSpPr>
      <xdr:spPr bwMode="auto">
        <a:xfrm>
          <a:off x="16383000" y="5305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77" name="AutoShape 53" descr="icon">
          <a:extLst>
            <a:ext uri="{FF2B5EF4-FFF2-40B4-BE49-F238E27FC236}">
              <a16:creationId xmlns:a16="http://schemas.microsoft.com/office/drawing/2014/main" id="{0E5ABFC3-686D-F3B8-D84B-5AE8A9B564A9}"/>
            </a:ext>
          </a:extLst>
        </xdr:cNvPr>
        <xdr:cNvSpPr>
          <a:spLocks noChangeAspect="1" noChangeArrowheads="1"/>
        </xdr:cNvSpPr>
      </xdr:nvSpPr>
      <xdr:spPr bwMode="auto">
        <a:xfrm>
          <a:off x="16383000" y="5505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78" name="AutoShape 54" descr="icon">
          <a:extLst>
            <a:ext uri="{FF2B5EF4-FFF2-40B4-BE49-F238E27FC236}">
              <a16:creationId xmlns:a16="http://schemas.microsoft.com/office/drawing/2014/main" id="{B425CAA1-26B3-607E-1EDA-F6E4F99C261F}"/>
            </a:ext>
          </a:extLst>
        </xdr:cNvPr>
        <xdr:cNvSpPr>
          <a:spLocks noChangeAspect="1" noChangeArrowheads="1"/>
        </xdr:cNvSpPr>
      </xdr:nvSpPr>
      <xdr:spPr bwMode="auto">
        <a:xfrm>
          <a:off x="16383000" y="57054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7</xdr:row>
      <xdr:rowOff>0</xdr:rowOff>
    </xdr:from>
    <xdr:to>
      <xdr:col>27</xdr:col>
      <xdr:colOff>304800</xdr:colOff>
      <xdr:row>8</xdr:row>
      <xdr:rowOff>117475</xdr:rowOff>
    </xdr:to>
    <xdr:sp macro="" textlink="">
      <xdr:nvSpPr>
        <xdr:cNvPr id="1079" name="AutoShape 55" descr="icon">
          <a:extLst>
            <a:ext uri="{FF2B5EF4-FFF2-40B4-BE49-F238E27FC236}">
              <a16:creationId xmlns:a16="http://schemas.microsoft.com/office/drawing/2014/main" id="{CF1ED6A1-187F-09BE-D740-B6E684AAB9EF}"/>
            </a:ext>
          </a:extLst>
        </xdr:cNvPr>
        <xdr:cNvSpPr>
          <a:spLocks noChangeAspect="1" noChangeArrowheads="1"/>
        </xdr:cNvSpPr>
      </xdr:nvSpPr>
      <xdr:spPr bwMode="auto">
        <a:xfrm>
          <a:off x="16383000" y="5905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32</xdr:row>
      <xdr:rowOff>0</xdr:rowOff>
    </xdr:from>
    <xdr:to>
      <xdr:col>27</xdr:col>
      <xdr:colOff>304800</xdr:colOff>
      <xdr:row>33</xdr:row>
      <xdr:rowOff>114300</xdr:rowOff>
    </xdr:to>
    <xdr:sp macro="" textlink="">
      <xdr:nvSpPr>
        <xdr:cNvPr id="1080" name="AutoShape 56" descr="icon">
          <a:extLst>
            <a:ext uri="{FF2B5EF4-FFF2-40B4-BE49-F238E27FC236}">
              <a16:creationId xmlns:a16="http://schemas.microsoft.com/office/drawing/2014/main" id="{3A4F8045-4DC3-35C3-FC2D-A3B6938B8475}"/>
            </a:ext>
          </a:extLst>
        </xdr:cNvPr>
        <xdr:cNvSpPr>
          <a:spLocks noChangeAspect="1" noChangeArrowheads="1"/>
        </xdr:cNvSpPr>
      </xdr:nvSpPr>
      <xdr:spPr bwMode="auto">
        <a:xfrm>
          <a:off x="1638300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30</xdr:row>
      <xdr:rowOff>0</xdr:rowOff>
    </xdr:from>
    <xdr:to>
      <xdr:col>27</xdr:col>
      <xdr:colOff>304800</xdr:colOff>
      <xdr:row>31</xdr:row>
      <xdr:rowOff>114300</xdr:rowOff>
    </xdr:to>
    <xdr:sp macro="" textlink="">
      <xdr:nvSpPr>
        <xdr:cNvPr id="1089" name="AutoShape 65" descr="icon">
          <a:extLst>
            <a:ext uri="{FF2B5EF4-FFF2-40B4-BE49-F238E27FC236}">
              <a16:creationId xmlns:a16="http://schemas.microsoft.com/office/drawing/2014/main" id="{BED8D8C6-37C4-E7DA-EDFC-878D7CA94AE8}"/>
            </a:ext>
          </a:extLst>
        </xdr:cNvPr>
        <xdr:cNvSpPr>
          <a:spLocks noChangeAspect="1" noChangeArrowheads="1"/>
        </xdr:cNvSpPr>
      </xdr:nvSpPr>
      <xdr:spPr bwMode="auto">
        <a:xfrm>
          <a:off x="17202150" y="4124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26</xdr:row>
      <xdr:rowOff>0</xdr:rowOff>
    </xdr:from>
    <xdr:to>
      <xdr:col>27</xdr:col>
      <xdr:colOff>304800</xdr:colOff>
      <xdr:row>27</xdr:row>
      <xdr:rowOff>112619</xdr:rowOff>
    </xdr:to>
    <xdr:sp macro="" textlink="">
      <xdr:nvSpPr>
        <xdr:cNvPr id="1090" name="AutoShape 66" descr="icon">
          <a:extLst>
            <a:ext uri="{FF2B5EF4-FFF2-40B4-BE49-F238E27FC236}">
              <a16:creationId xmlns:a16="http://schemas.microsoft.com/office/drawing/2014/main" id="{1D0D1911-D0E7-7DDD-17B9-C202BFDEDCAC}"/>
            </a:ext>
          </a:extLst>
        </xdr:cNvPr>
        <xdr:cNvSpPr>
          <a:spLocks noChangeAspect="1" noChangeArrowheads="1"/>
        </xdr:cNvSpPr>
      </xdr:nvSpPr>
      <xdr:spPr bwMode="auto">
        <a:xfrm>
          <a:off x="17202150" y="4324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22</xdr:row>
      <xdr:rowOff>0</xdr:rowOff>
    </xdr:from>
    <xdr:to>
      <xdr:col>27</xdr:col>
      <xdr:colOff>304800</xdr:colOff>
      <xdr:row>23</xdr:row>
      <xdr:rowOff>112619</xdr:rowOff>
    </xdr:to>
    <xdr:sp macro="" textlink="">
      <xdr:nvSpPr>
        <xdr:cNvPr id="1091" name="AutoShape 67" descr="icon">
          <a:extLst>
            <a:ext uri="{FF2B5EF4-FFF2-40B4-BE49-F238E27FC236}">
              <a16:creationId xmlns:a16="http://schemas.microsoft.com/office/drawing/2014/main" id="{54146A38-CC08-E199-7D96-853B9ED086CA}"/>
            </a:ext>
          </a:extLst>
        </xdr:cNvPr>
        <xdr:cNvSpPr>
          <a:spLocks noChangeAspect="1" noChangeArrowheads="1"/>
        </xdr:cNvSpPr>
      </xdr:nvSpPr>
      <xdr:spPr bwMode="auto">
        <a:xfrm>
          <a:off x="17202150" y="4524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22</xdr:row>
      <xdr:rowOff>0</xdr:rowOff>
    </xdr:from>
    <xdr:to>
      <xdr:col>27</xdr:col>
      <xdr:colOff>304800</xdr:colOff>
      <xdr:row>23</xdr:row>
      <xdr:rowOff>112619</xdr:rowOff>
    </xdr:to>
    <xdr:sp macro="" textlink="">
      <xdr:nvSpPr>
        <xdr:cNvPr id="1092" name="AutoShape 68" descr="icon">
          <a:extLst>
            <a:ext uri="{FF2B5EF4-FFF2-40B4-BE49-F238E27FC236}">
              <a16:creationId xmlns:a16="http://schemas.microsoft.com/office/drawing/2014/main" id="{33A7D7DC-1C5F-6553-6E8B-07A5E1B10CF2}"/>
            </a:ext>
          </a:extLst>
        </xdr:cNvPr>
        <xdr:cNvSpPr>
          <a:spLocks noChangeAspect="1" noChangeArrowheads="1"/>
        </xdr:cNvSpPr>
      </xdr:nvSpPr>
      <xdr:spPr bwMode="auto">
        <a:xfrm>
          <a:off x="17202150" y="4724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11</xdr:row>
      <xdr:rowOff>0</xdr:rowOff>
    </xdr:from>
    <xdr:to>
      <xdr:col>27</xdr:col>
      <xdr:colOff>304800</xdr:colOff>
      <xdr:row>13</xdr:row>
      <xdr:rowOff>81455</xdr:rowOff>
    </xdr:to>
    <xdr:sp macro="" textlink="">
      <xdr:nvSpPr>
        <xdr:cNvPr id="1093" name="AutoShape 69" descr="icon">
          <a:extLst>
            <a:ext uri="{FF2B5EF4-FFF2-40B4-BE49-F238E27FC236}">
              <a16:creationId xmlns:a16="http://schemas.microsoft.com/office/drawing/2014/main" id="{83583F57-068E-F24C-4B96-4384047FDE43}"/>
            </a:ext>
          </a:extLst>
        </xdr:cNvPr>
        <xdr:cNvSpPr>
          <a:spLocks noChangeAspect="1" noChangeArrowheads="1"/>
        </xdr:cNvSpPr>
      </xdr:nvSpPr>
      <xdr:spPr bwMode="auto">
        <a:xfrm>
          <a:off x="17202150" y="4924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8</xdr:row>
      <xdr:rowOff>0</xdr:rowOff>
    </xdr:from>
    <xdr:to>
      <xdr:col>27</xdr:col>
      <xdr:colOff>304800</xdr:colOff>
      <xdr:row>9</xdr:row>
      <xdr:rowOff>99919</xdr:rowOff>
    </xdr:to>
    <xdr:sp macro="" textlink="">
      <xdr:nvSpPr>
        <xdr:cNvPr id="1094" name="AutoShape 70" descr="icon">
          <a:extLst>
            <a:ext uri="{FF2B5EF4-FFF2-40B4-BE49-F238E27FC236}">
              <a16:creationId xmlns:a16="http://schemas.microsoft.com/office/drawing/2014/main" id="{B866A510-E3FF-CFFD-012C-2E45642286B8}"/>
            </a:ext>
          </a:extLst>
        </xdr:cNvPr>
        <xdr:cNvSpPr>
          <a:spLocks noChangeAspect="1" noChangeArrowheads="1"/>
        </xdr:cNvSpPr>
      </xdr:nvSpPr>
      <xdr:spPr bwMode="auto">
        <a:xfrm>
          <a:off x="17202150" y="5124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27</xdr:col>
      <xdr:colOff>0</xdr:colOff>
      <xdr:row>9</xdr:row>
      <xdr:rowOff>0</xdr:rowOff>
    </xdr:from>
    <xdr:to>
      <xdr:col>27</xdr:col>
      <xdr:colOff>304800</xdr:colOff>
      <xdr:row>10</xdr:row>
      <xdr:rowOff>117476</xdr:rowOff>
    </xdr:to>
    <xdr:sp macro="" textlink="">
      <xdr:nvSpPr>
        <xdr:cNvPr id="1095" name="AutoShape 71" descr="icon">
          <a:extLst>
            <a:ext uri="{FF2B5EF4-FFF2-40B4-BE49-F238E27FC236}">
              <a16:creationId xmlns:a16="http://schemas.microsoft.com/office/drawing/2014/main" id="{D6A6DDEB-6E0F-1649-23E6-D673E1EA3A08}"/>
            </a:ext>
          </a:extLst>
        </xdr:cNvPr>
        <xdr:cNvSpPr>
          <a:spLocks noChangeAspect="1" noChangeArrowheads="1"/>
        </xdr:cNvSpPr>
      </xdr:nvSpPr>
      <xdr:spPr bwMode="auto">
        <a:xfrm>
          <a:off x="17202150" y="53244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27</xdr:col>
      <xdr:colOff>0</xdr:colOff>
      <xdr:row>10</xdr:row>
      <xdr:rowOff>0</xdr:rowOff>
    </xdr:from>
    <xdr:ext cx="304800" cy="307976"/>
    <xdr:sp macro="" textlink="">
      <xdr:nvSpPr>
        <xdr:cNvPr id="2" name="AutoShape 11" descr="icon">
          <a:extLst>
            <a:ext uri="{FF2B5EF4-FFF2-40B4-BE49-F238E27FC236}">
              <a16:creationId xmlns:a16="http://schemas.microsoft.com/office/drawing/2014/main" id="{743BC0FC-DCB3-4AFE-A75E-E3DAC6F2291A}"/>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4" name="AutoShape 12" descr="icon">
          <a:extLst>
            <a:ext uri="{FF2B5EF4-FFF2-40B4-BE49-F238E27FC236}">
              <a16:creationId xmlns:a16="http://schemas.microsoft.com/office/drawing/2014/main" id="{AFB445D7-E9E1-4253-A3DE-72E5EC3E3C48}"/>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5" name="AutoShape 18" descr="icon">
          <a:extLst>
            <a:ext uri="{FF2B5EF4-FFF2-40B4-BE49-F238E27FC236}">
              <a16:creationId xmlns:a16="http://schemas.microsoft.com/office/drawing/2014/main" id="{26003F6A-0AEE-4A0A-8E5C-64CD4EE56BDF}"/>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6" name="AutoShape 19" descr="icon">
          <a:extLst>
            <a:ext uri="{FF2B5EF4-FFF2-40B4-BE49-F238E27FC236}">
              <a16:creationId xmlns:a16="http://schemas.microsoft.com/office/drawing/2014/main" id="{CD3A013D-8CD0-43F0-8CA9-E81EC6EBB89E}"/>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7" name="AutoShape 25" descr="icon">
          <a:extLst>
            <a:ext uri="{FF2B5EF4-FFF2-40B4-BE49-F238E27FC236}">
              <a16:creationId xmlns:a16="http://schemas.microsoft.com/office/drawing/2014/main" id="{2BE1E9D8-5822-4834-94F2-CF133DAB2D71}"/>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8" name="AutoShape 26" descr="icon">
          <a:extLst>
            <a:ext uri="{FF2B5EF4-FFF2-40B4-BE49-F238E27FC236}">
              <a16:creationId xmlns:a16="http://schemas.microsoft.com/office/drawing/2014/main" id="{07D616A4-2F0A-445F-92A2-C6CFE8760083}"/>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9" name="AutoShape 32" descr="icon">
          <a:extLst>
            <a:ext uri="{FF2B5EF4-FFF2-40B4-BE49-F238E27FC236}">
              <a16:creationId xmlns:a16="http://schemas.microsoft.com/office/drawing/2014/main" id="{DE8A94D6-DBA4-4ABB-B247-4E2D1E23EB69}"/>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10" name="AutoShape 33" descr="icon">
          <a:extLst>
            <a:ext uri="{FF2B5EF4-FFF2-40B4-BE49-F238E27FC236}">
              <a16:creationId xmlns:a16="http://schemas.microsoft.com/office/drawing/2014/main" id="{14E5B7B9-8437-4D74-BCE7-2D0231DA6D8A}"/>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11" name="AutoShape 39" descr="icon">
          <a:extLst>
            <a:ext uri="{FF2B5EF4-FFF2-40B4-BE49-F238E27FC236}">
              <a16:creationId xmlns:a16="http://schemas.microsoft.com/office/drawing/2014/main" id="{45173EC7-D189-4122-B26A-E869537DD000}"/>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12" name="AutoShape 40" descr="icon">
          <a:extLst>
            <a:ext uri="{FF2B5EF4-FFF2-40B4-BE49-F238E27FC236}">
              <a16:creationId xmlns:a16="http://schemas.microsoft.com/office/drawing/2014/main" id="{041D1E40-5FF5-402A-A1C4-1C0AE865CC91}"/>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13" name="AutoShape 46" descr="icon">
          <a:extLst>
            <a:ext uri="{FF2B5EF4-FFF2-40B4-BE49-F238E27FC236}">
              <a16:creationId xmlns:a16="http://schemas.microsoft.com/office/drawing/2014/main" id="{26D4C02C-EBE6-4262-BE7C-E7CE02E66D19}"/>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14" name="AutoShape 47" descr="icon">
          <a:extLst>
            <a:ext uri="{FF2B5EF4-FFF2-40B4-BE49-F238E27FC236}">
              <a16:creationId xmlns:a16="http://schemas.microsoft.com/office/drawing/2014/main" id="{3BFCA36C-6F47-420A-BB1D-B4462C75E910}"/>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15" name="AutoShape 53" descr="icon">
          <a:extLst>
            <a:ext uri="{FF2B5EF4-FFF2-40B4-BE49-F238E27FC236}">
              <a16:creationId xmlns:a16="http://schemas.microsoft.com/office/drawing/2014/main" id="{2716C934-81DE-4597-AEDD-93216A33A52D}"/>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16" name="AutoShape 54" descr="icon">
          <a:extLst>
            <a:ext uri="{FF2B5EF4-FFF2-40B4-BE49-F238E27FC236}">
              <a16:creationId xmlns:a16="http://schemas.microsoft.com/office/drawing/2014/main" id="{05D86107-370E-4035-A871-2EAE425EEA11}"/>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27</xdr:col>
      <xdr:colOff>0</xdr:colOff>
      <xdr:row>10</xdr:row>
      <xdr:rowOff>0</xdr:rowOff>
    </xdr:from>
    <xdr:ext cx="304800" cy="307976"/>
    <xdr:sp macro="" textlink="">
      <xdr:nvSpPr>
        <xdr:cNvPr id="17" name="AutoShape 71" descr="icon">
          <a:extLst>
            <a:ext uri="{FF2B5EF4-FFF2-40B4-BE49-F238E27FC236}">
              <a16:creationId xmlns:a16="http://schemas.microsoft.com/office/drawing/2014/main" id="{51D47BC7-6E11-4AD2-BB43-C85A31638F6C}"/>
            </a:ext>
          </a:extLst>
        </xdr:cNvPr>
        <xdr:cNvSpPr>
          <a:spLocks noChangeAspect="1" noChangeArrowheads="1"/>
        </xdr:cNvSpPr>
      </xdr:nvSpPr>
      <xdr:spPr bwMode="auto">
        <a:xfrm>
          <a:off x="24545192" y="1765788"/>
          <a:ext cx="304800" cy="30797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285750</xdr:colOff>
      <xdr:row>32</xdr:row>
      <xdr:rowOff>122464</xdr:rowOff>
    </xdr:from>
    <xdr:to>
      <xdr:col>5</xdr:col>
      <xdr:colOff>6121853</xdr:colOff>
      <xdr:row>80</xdr:row>
      <xdr:rowOff>74067</xdr:rowOff>
    </xdr:to>
    <xdr:pic>
      <xdr:nvPicPr>
        <xdr:cNvPr id="20" name="Picture 17">
          <a:extLst>
            <a:ext uri="{FF2B5EF4-FFF2-40B4-BE49-F238E27FC236}">
              <a16:creationId xmlns:a16="http://schemas.microsoft.com/office/drawing/2014/main" id="{33CCC8E3-A6D1-BC6C-B665-F7048B134B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73286" y="8531678"/>
          <a:ext cx="9293678" cy="90956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92075</xdr:colOff>
      <xdr:row>7</xdr:row>
      <xdr:rowOff>22225</xdr:rowOff>
    </xdr:from>
    <xdr:to>
      <xdr:col>18</xdr:col>
      <xdr:colOff>396875</xdr:colOff>
      <xdr:row>22</xdr:row>
      <xdr:rowOff>3175</xdr:rowOff>
    </xdr:to>
    <xdr:graphicFrame macro="">
      <xdr:nvGraphicFramePr>
        <xdr:cNvPr id="10" name="Chart 1">
          <a:extLst>
            <a:ext uri="{FF2B5EF4-FFF2-40B4-BE49-F238E27FC236}">
              <a16:creationId xmlns:a16="http://schemas.microsoft.com/office/drawing/2014/main" id="{6CBBAB89-54FD-E18F-6934-55C4AB80943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372051</xdr:colOff>
      <xdr:row>22</xdr:row>
      <xdr:rowOff>139410</xdr:rowOff>
    </xdr:from>
    <xdr:to>
      <xdr:col>20</xdr:col>
      <xdr:colOff>210126</xdr:colOff>
      <xdr:row>42</xdr:row>
      <xdr:rowOff>148935</xdr:rowOff>
    </xdr:to>
    <xdr:graphicFrame macro="">
      <xdr:nvGraphicFramePr>
        <xdr:cNvPr id="15" name="Chart 2">
          <a:extLst>
            <a:ext uri="{FF2B5EF4-FFF2-40B4-BE49-F238E27FC236}">
              <a16:creationId xmlns:a16="http://schemas.microsoft.com/office/drawing/2014/main" id="{15599877-21B7-82C2-F60D-2212E280894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390525</xdr:colOff>
      <xdr:row>48</xdr:row>
      <xdr:rowOff>174625</xdr:rowOff>
    </xdr:from>
    <xdr:to>
      <xdr:col>19</xdr:col>
      <xdr:colOff>85725</xdr:colOff>
      <xdr:row>62</xdr:row>
      <xdr:rowOff>155575</xdr:rowOff>
    </xdr:to>
    <xdr:graphicFrame macro="">
      <xdr:nvGraphicFramePr>
        <xdr:cNvPr id="19" name="Chart 3">
          <a:extLst>
            <a:ext uri="{FF2B5EF4-FFF2-40B4-BE49-F238E27FC236}">
              <a16:creationId xmlns:a16="http://schemas.microsoft.com/office/drawing/2014/main" id="{D1DE938A-579C-F46A-5711-DAF6366D01E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452871</xdr:colOff>
      <xdr:row>36</xdr:row>
      <xdr:rowOff>127865</xdr:rowOff>
    </xdr:from>
    <xdr:to>
      <xdr:col>28</xdr:col>
      <xdr:colOff>285462</xdr:colOff>
      <xdr:row>50</xdr:row>
      <xdr:rowOff>108815</xdr:rowOff>
    </xdr:to>
    <xdr:graphicFrame macro="">
      <xdr:nvGraphicFramePr>
        <xdr:cNvPr id="22" name="Chart 4">
          <a:extLst>
            <a:ext uri="{FF2B5EF4-FFF2-40B4-BE49-F238E27FC236}">
              <a16:creationId xmlns:a16="http://schemas.microsoft.com/office/drawing/2014/main" id="{8437B08F-EDC6-2651-2E58-495DFD01615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9525</xdr:colOff>
      <xdr:row>68</xdr:row>
      <xdr:rowOff>133350</xdr:rowOff>
    </xdr:from>
    <xdr:to>
      <xdr:col>21</xdr:col>
      <xdr:colOff>266700</xdr:colOff>
      <xdr:row>74</xdr:row>
      <xdr:rowOff>47625</xdr:rowOff>
    </xdr:to>
    <xdr:sp macro="" textlink="">
      <xdr:nvSpPr>
        <xdr:cNvPr id="23" name="TextBox 22">
          <a:extLst>
            <a:ext uri="{FF2B5EF4-FFF2-40B4-BE49-F238E27FC236}">
              <a16:creationId xmlns:a16="http://schemas.microsoft.com/office/drawing/2014/main" id="{ED626A3F-7845-499D-C9F5-4E520261B5D4}"/>
            </a:ext>
          </a:extLst>
        </xdr:cNvPr>
        <xdr:cNvSpPr txBox="1"/>
      </xdr:nvSpPr>
      <xdr:spPr>
        <a:xfrm>
          <a:off x="1838325" y="13468350"/>
          <a:ext cx="17125950" cy="1057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0" i="0" u="none" strike="noStrike">
              <a:solidFill>
                <a:schemeClr val="dk1"/>
              </a:solidFill>
              <a:effectLst/>
              <a:latin typeface="+mn-lt"/>
              <a:ea typeface="+mn-ea"/>
              <a:cs typeface="+mn-cs"/>
            </a:rPr>
            <a:t>I took the day ahead price for the lower bound (for a small battery of 5 kWh) and the long imbalance price (with a large battery of 10kWh) for the upper bound, as the long imbalance market is the one who has the most charging in peak hours and the day ahead has the least. Short imbalance is not relevant, as entails supplying energy to the grid, which is out of scope for this assignment.</a:t>
          </a:r>
          <a:r>
            <a:rPr lang="nl-NL">
              <a:effectLst/>
            </a:rPr>
            <a:t> </a:t>
          </a:r>
          <a:r>
            <a:rPr lang="en-US" sz="1100" b="0" i="0" u="none" strike="noStrike">
              <a:solidFill>
                <a:schemeClr val="dk1"/>
              </a:solidFill>
              <a:effectLst/>
              <a:latin typeface="+mn-lt"/>
              <a:ea typeface="+mn-ea"/>
              <a:cs typeface="+mn-cs"/>
            </a:rPr>
            <a:t>Note that is valid for 2024. In 2018, the short imbalance market was the one who had more charging time in the peak and the day ahead was the one with most charging time in the peak. The day ahead market has stable numbers, the short imbalance grows a bit, and the long imbalance grows a lot (takes over in 2020).</a:t>
          </a:r>
          <a:r>
            <a:rPr lang="nl-NL">
              <a:effectLst/>
            </a:rPr>
            <a:t> </a:t>
          </a:r>
          <a:r>
            <a:rPr lang="en-US" sz="1100" b="0" i="0" u="none" strike="noStrike">
              <a:solidFill>
                <a:schemeClr val="dk1"/>
              </a:solidFill>
              <a:effectLst/>
              <a:latin typeface="+mn-lt"/>
              <a:ea typeface="+mn-ea"/>
              <a:cs typeface="+mn-cs"/>
            </a:rPr>
            <a:t>Also note that the charging time in the peak is given by the amount of cheapest time spots (hours for day ahead, quarters for imbalance) that are in the peak. The cheapest time spots add up to the time we need to charge the battery to the desired level</a:t>
          </a:r>
          <a:r>
            <a:rPr lang="nl-NL">
              <a:effectLst/>
            </a:rPr>
            <a:t> </a:t>
          </a:r>
          <a:endParaRPr lang="nl-NL"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hyperlink" Target="https://www.mediamarkt.be/nl/category/waterkoker-1261.html?query=waterkoker&amp;power=2500-3000" TargetMode="External"/><Relationship Id="rId13" Type="http://schemas.openxmlformats.org/officeDocument/2006/relationships/hyperlink" Target="https://www.coolblue.nl/en/dishwashers/built-in/filter?sort=most-sold" TargetMode="External"/><Relationship Id="rId18" Type="http://schemas.openxmlformats.org/officeDocument/2006/relationships/hyperlink" Target="https://www.mediamarkt.nl/nl/category/inbouwovens-82.html" TargetMode="External"/><Relationship Id="rId3" Type="http://schemas.openxmlformats.org/officeDocument/2006/relationships/hyperlink" Target="https://eprel.ec.europa.eu/screen/product/airconditioners" TargetMode="External"/><Relationship Id="rId21" Type="http://schemas.openxmlformats.org/officeDocument/2006/relationships/hyperlink" Target="https://www.coolblue.nl/en/heat-pumps" TargetMode="External"/><Relationship Id="rId7" Type="http://schemas.openxmlformats.org/officeDocument/2006/relationships/hyperlink" Target="https://newtransparency.entsoe.eu/" TargetMode="External"/><Relationship Id="rId12" Type="http://schemas.openxmlformats.org/officeDocument/2006/relationships/hyperlink" Target="https://www.tennet.eu/nl/de-elektriciteitsmarkt/transparantie-nederland/verrekenprijzen" TargetMode="External"/><Relationship Id="rId17" Type="http://schemas.openxmlformats.org/officeDocument/2006/relationships/hyperlink" Target="https://www.mediamarkt.nl/nl/category/koel-vriescombinaties-1735.html" TargetMode="External"/><Relationship Id="rId2" Type="http://schemas.openxmlformats.org/officeDocument/2006/relationships/hyperlink" Target="https://www.topten.eu/private/products/vacuum_cleaners" TargetMode="External"/><Relationship Id="rId16" Type="http://schemas.openxmlformats.org/officeDocument/2006/relationships/hyperlink" Target="https://www.mediamarkt.nl/nl/category/airfryers-xl-1829.html" TargetMode="External"/><Relationship Id="rId20" Type="http://schemas.openxmlformats.org/officeDocument/2006/relationships/hyperlink" Target="https://www.anwb.nl/energie/energieverbruik/hoeveel-stroom-verbruikt-een-elektrische-fiets" TargetMode="External"/><Relationship Id="rId1" Type="http://schemas.openxmlformats.org/officeDocument/2006/relationships/hyperlink" Target="https://www.topten.eu/private/selection-criteria/coffee-machines" TargetMode="External"/><Relationship Id="rId6" Type="http://schemas.openxmlformats.org/officeDocument/2006/relationships/hyperlink" Target="https://www.cbs.nl/nl-nl/visualisaties/verkeer-en-vervoer/personen/fietsen" TargetMode="External"/><Relationship Id="rId11" Type="http://schemas.openxmlformats.org/officeDocument/2006/relationships/hyperlink" Target="https://www.playstation.com/en-in/legal/ecodesign/" TargetMode="External"/><Relationship Id="rId24" Type="http://schemas.openxmlformats.org/officeDocument/2006/relationships/drawing" Target="../drawings/drawing1.xml"/><Relationship Id="rId5" Type="http://schemas.openxmlformats.org/officeDocument/2006/relationships/hyperlink" Target="https://www.cbs.nl/nl-nl/maatwerk/2024/49/gemiddeld-kilometrage-personenauto-s-per-365-dagen" TargetMode="External"/><Relationship Id="rId15" Type="http://schemas.openxmlformats.org/officeDocument/2006/relationships/hyperlink" Target="https://www.mediamarkt.nl/nl/category/drogers-1280.html?filter=productType:Droger" TargetMode="External"/><Relationship Id="rId23" Type="http://schemas.openxmlformats.org/officeDocument/2006/relationships/printerSettings" Target="../printerSettings/printerSettings1.bin"/><Relationship Id="rId10" Type="http://schemas.openxmlformats.org/officeDocument/2006/relationships/hyperlink" Target="https://eprel.ec.europa.eu/screen/product/lightsources" TargetMode="External"/><Relationship Id="rId19" Type="http://schemas.openxmlformats.org/officeDocument/2006/relationships/hyperlink" Target="https://www.mediamarkt.nl/nl/category/televisies-453.html?displayInInch=32.0-65.0&amp;sort=salescount+desc" TargetMode="External"/><Relationship Id="rId4" Type="http://schemas.openxmlformats.org/officeDocument/2006/relationships/hyperlink" Target="https://eprel.ec.europa.eu/screen/product/airconditioners" TargetMode="External"/><Relationship Id="rId9" Type="http://schemas.openxmlformats.org/officeDocument/2006/relationships/hyperlink" Target="https://www.coolblue.nl/en/stoves/2-phase-stoves/breedte-fornuis:0.6?apf=done" TargetMode="External"/><Relationship Id="rId14" Type="http://schemas.openxmlformats.org/officeDocument/2006/relationships/hyperlink" Target="https://www.mediamarkt.nl/nl/category/wasmachines-1283.html?washingCapacity=3-12" TargetMode="External"/><Relationship Id="rId22" Type="http://schemas.openxmlformats.org/officeDocument/2006/relationships/hyperlink" Target="https://www.mediamarkt.nl/nl/category/telefoon-opladers-1360.html"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anwb.nl/energie/energieverbruik/hoeveel-stroom-verbruikt-een-elektrische-auto" TargetMode="External"/><Relationship Id="rId1" Type="http://schemas.openxmlformats.org/officeDocument/2006/relationships/hyperlink" Target="https://ev-database.org/cheatsheet/energy-consumption-electric-car"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8F342-1CFD-45E5-B300-28B744B81F8D}">
  <dimension ref="A1:A6"/>
  <sheetViews>
    <sheetView workbookViewId="0">
      <selection activeCell="D12" sqref="D12"/>
    </sheetView>
  </sheetViews>
  <sheetFormatPr defaultRowHeight="14.5" x14ac:dyDescent="0.35"/>
  <sheetData>
    <row r="1" spans="1:1" x14ac:dyDescent="0.35">
      <c r="A1" t="s">
        <v>304</v>
      </c>
    </row>
    <row r="2" spans="1:1" x14ac:dyDescent="0.35">
      <c r="A2" t="s">
        <v>202</v>
      </c>
    </row>
    <row r="3" spans="1:1" x14ac:dyDescent="0.35">
      <c r="A3" t="s">
        <v>203</v>
      </c>
    </row>
    <row r="6" spans="1:1" x14ac:dyDescent="0.35">
      <c r="A6" s="52">
        <v>45945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38"/>
  <sheetViews>
    <sheetView zoomScaleNormal="100" workbookViewId="0">
      <pane xSplit="2" ySplit="1" topLeftCell="C2" activePane="bottomRight" state="frozen"/>
      <selection pane="topRight" activeCell="C1" sqref="C1"/>
      <selection pane="bottomLeft" activeCell="A2" sqref="A2"/>
      <selection pane="bottomRight" activeCell="B3" sqref="B3"/>
    </sheetView>
  </sheetViews>
  <sheetFormatPr defaultRowHeight="14.5" x14ac:dyDescent="0.35"/>
  <cols>
    <col min="1" max="1" width="7.453125" style="5" customWidth="1"/>
    <col min="2" max="2" width="48" customWidth="1"/>
    <col min="3" max="3" width="33.54296875" customWidth="1"/>
    <col min="4" max="5" width="9.1796875" style="17"/>
    <col min="6" max="6" width="148.26953125" style="41" bestFit="1" customWidth="1"/>
    <col min="7" max="7" width="62.7265625" style="50" customWidth="1"/>
    <col min="8" max="8" width="70.54296875" customWidth="1"/>
    <col min="27" max="27" width="21.453125" bestFit="1" customWidth="1"/>
    <col min="28" max="28" width="16" customWidth="1"/>
  </cols>
  <sheetData>
    <row r="1" spans="1:39" ht="15.5" x14ac:dyDescent="0.35">
      <c r="A1" s="6" t="s">
        <v>200</v>
      </c>
      <c r="B1" s="26" t="s">
        <v>0</v>
      </c>
      <c r="C1" s="26" t="s">
        <v>1</v>
      </c>
      <c r="D1" s="27" t="s">
        <v>2</v>
      </c>
      <c r="E1" s="27" t="s">
        <v>3</v>
      </c>
      <c r="F1" s="40" t="s">
        <v>4</v>
      </c>
      <c r="G1" s="48" t="s">
        <v>5</v>
      </c>
      <c r="K1" s="55" t="s">
        <v>298</v>
      </c>
      <c r="L1" s="3" t="s">
        <v>6</v>
      </c>
      <c r="M1" s="28" t="s">
        <v>10</v>
      </c>
      <c r="N1" s="29" t="s">
        <v>11</v>
      </c>
      <c r="O1" s="30" t="s">
        <v>12</v>
      </c>
      <c r="P1" s="31" t="s">
        <v>13</v>
      </c>
      <c r="Q1" s="32" t="s">
        <v>14</v>
      </c>
      <c r="R1" s="33" t="s">
        <v>15</v>
      </c>
      <c r="S1" s="34" t="s">
        <v>16</v>
      </c>
      <c r="T1" t="s">
        <v>302</v>
      </c>
      <c r="Z1" s="55" t="s">
        <v>299</v>
      </c>
      <c r="AA1" s="3" t="s">
        <v>6</v>
      </c>
      <c r="AB1" s="3" t="s">
        <v>201</v>
      </c>
      <c r="AC1" s="28" t="s">
        <v>7</v>
      </c>
      <c r="AD1" s="29" t="s">
        <v>8</v>
      </c>
      <c r="AE1" s="30" t="s">
        <v>9</v>
      </c>
      <c r="AF1" s="31" t="s">
        <v>10</v>
      </c>
      <c r="AG1" s="32" t="s">
        <v>11</v>
      </c>
      <c r="AH1" s="33" t="s">
        <v>12</v>
      </c>
      <c r="AI1" s="34" t="s">
        <v>13</v>
      </c>
      <c r="AJ1" t="s">
        <v>14</v>
      </c>
      <c r="AK1" t="s">
        <v>15</v>
      </c>
      <c r="AL1" t="s">
        <v>16</v>
      </c>
      <c r="AM1" t="s">
        <v>301</v>
      </c>
    </row>
    <row r="2" spans="1:39" ht="15.5" x14ac:dyDescent="0.35">
      <c r="A2" s="5">
        <v>1</v>
      </c>
      <c r="B2" t="s">
        <v>279</v>
      </c>
      <c r="C2" t="s">
        <v>18</v>
      </c>
      <c r="D2" s="17">
        <f>2.5*3/4.5</f>
        <v>1.6666666666666667</v>
      </c>
      <c r="E2" s="17">
        <f>6*3/4.5</f>
        <v>4</v>
      </c>
      <c r="F2" s="41" t="s">
        <v>19</v>
      </c>
      <c r="G2" s="49" t="s">
        <v>20</v>
      </c>
      <c r="K2" s="55"/>
      <c r="Z2" s="55"/>
      <c r="AA2" s="4">
        <v>23856</v>
      </c>
      <c r="AB2" s="23" t="s">
        <v>21</v>
      </c>
      <c r="AC2" s="51" t="s">
        <v>22</v>
      </c>
      <c r="AD2" s="51" t="s">
        <v>23</v>
      </c>
      <c r="AE2" s="51" t="s">
        <v>24</v>
      </c>
      <c r="AF2" s="51" t="s">
        <v>25</v>
      </c>
      <c r="AG2" s="51" t="s">
        <v>26</v>
      </c>
      <c r="AH2" s="51" t="s">
        <v>27</v>
      </c>
      <c r="AI2" s="51" t="s">
        <v>28</v>
      </c>
      <c r="AM2" t="s">
        <v>300</v>
      </c>
    </row>
    <row r="3" spans="1:39" ht="15.5" x14ac:dyDescent="0.35">
      <c r="A3" s="5">
        <v>1</v>
      </c>
      <c r="B3" t="s">
        <v>280</v>
      </c>
      <c r="C3" t="s">
        <v>30</v>
      </c>
      <c r="D3" s="17">
        <f>3*3/4</f>
        <v>2.25</v>
      </c>
      <c r="E3" s="17">
        <f>5*3/3</f>
        <v>5</v>
      </c>
      <c r="F3" s="41" t="s">
        <v>31</v>
      </c>
      <c r="G3" s="49" t="s">
        <v>20</v>
      </c>
      <c r="K3" s="55"/>
      <c r="Z3" s="55"/>
      <c r="AA3" s="4">
        <v>23856</v>
      </c>
      <c r="AB3" s="23" t="s">
        <v>21</v>
      </c>
      <c r="AC3" s="51" t="s">
        <v>22</v>
      </c>
      <c r="AD3" s="51" t="s">
        <v>23</v>
      </c>
      <c r="AE3" s="51" t="s">
        <v>24</v>
      </c>
      <c r="AF3" s="51" t="s">
        <v>25</v>
      </c>
      <c r="AG3" s="51" t="s">
        <v>26</v>
      </c>
      <c r="AH3" s="51" t="s">
        <v>27</v>
      </c>
      <c r="AI3" s="51" t="s">
        <v>28</v>
      </c>
      <c r="AM3" t="s">
        <v>300</v>
      </c>
    </row>
    <row r="4" spans="1:39" ht="43.5" x14ac:dyDescent="0.35">
      <c r="A4" s="5">
        <v>1</v>
      </c>
      <c r="B4" t="s">
        <v>213</v>
      </c>
      <c r="C4" t="s">
        <v>270</v>
      </c>
      <c r="D4" s="17">
        <f>EVs!K43</f>
        <v>5.1952296535052387</v>
      </c>
      <c r="E4" s="17">
        <f>EVs!K44</f>
        <v>6.9269728713403182</v>
      </c>
      <c r="F4" s="41" t="s">
        <v>181</v>
      </c>
      <c r="G4" s="53" t="s">
        <v>33</v>
      </c>
      <c r="H4" s="2"/>
      <c r="K4" s="55"/>
      <c r="Z4" s="55"/>
      <c r="AA4" s="4"/>
      <c r="AB4" s="23"/>
      <c r="AC4" s="24"/>
      <c r="AD4" s="24"/>
      <c r="AE4" s="24"/>
      <c r="AF4" s="24"/>
      <c r="AG4" s="24"/>
      <c r="AH4" s="24"/>
      <c r="AI4" s="24"/>
    </row>
    <row r="5" spans="1:39" ht="43.5" x14ac:dyDescent="0.35">
      <c r="A5" s="5">
        <v>1</v>
      </c>
      <c r="B5" t="s">
        <v>214</v>
      </c>
      <c r="C5" t="s">
        <v>271</v>
      </c>
      <c r="D5" s="17">
        <f>EVs!K45</f>
        <v>8.5256728444802601</v>
      </c>
      <c r="E5" s="17">
        <f>EVs!K46</f>
        <v>11.367563792640347</v>
      </c>
      <c r="F5" s="41" t="s">
        <v>182</v>
      </c>
      <c r="G5" s="53"/>
      <c r="H5" s="2"/>
      <c r="K5" s="55"/>
      <c r="Z5" s="55"/>
      <c r="AA5" s="4"/>
      <c r="AB5" s="23"/>
      <c r="AC5" s="24"/>
      <c r="AD5" s="24"/>
      <c r="AE5" s="24"/>
      <c r="AF5" s="24"/>
      <c r="AG5" s="24"/>
      <c r="AH5" s="24"/>
      <c r="AI5" s="24"/>
    </row>
    <row r="6" spans="1:39" ht="58" x14ac:dyDescent="0.35">
      <c r="A6" s="5">
        <v>1</v>
      </c>
      <c r="B6" t="s">
        <v>278</v>
      </c>
      <c r="D6" s="17">
        <f>'Home batteries'!$K$55</f>
        <v>7.3931211828993898E-2</v>
      </c>
      <c r="E6" s="17">
        <f>'Home batteries'!$K$9</f>
        <v>0.14786242365798699</v>
      </c>
      <c r="F6" s="41" t="s">
        <v>183</v>
      </c>
      <c r="G6" s="49" t="s">
        <v>34</v>
      </c>
      <c r="H6" s="2"/>
      <c r="K6" s="55"/>
      <c r="Z6" s="55"/>
      <c r="AA6" s="4"/>
      <c r="AB6" s="23"/>
      <c r="AC6" s="24"/>
      <c r="AD6" s="24"/>
      <c r="AE6" s="24"/>
      <c r="AF6" s="24"/>
      <c r="AG6" s="24"/>
      <c r="AH6" s="24"/>
      <c r="AI6" s="24"/>
    </row>
    <row r="7" spans="1:39" ht="58" x14ac:dyDescent="0.35">
      <c r="A7" s="5">
        <v>1</v>
      </c>
      <c r="B7" t="s">
        <v>277</v>
      </c>
      <c r="D7" s="17">
        <f>'Home batteries'!G82</f>
        <v>2.4493731918997099</v>
      </c>
      <c r="E7" s="17">
        <f>'Home batteries'!G83</f>
        <v>4.8987463837994198</v>
      </c>
      <c r="F7" s="41" t="s">
        <v>184</v>
      </c>
      <c r="G7" s="49" t="s">
        <v>185</v>
      </c>
      <c r="H7" s="2"/>
      <c r="K7" s="55"/>
      <c r="Z7" s="55"/>
      <c r="AA7" s="4"/>
      <c r="AB7" s="23"/>
      <c r="AC7" s="24"/>
      <c r="AD7" s="24"/>
      <c r="AE7" s="24"/>
      <c r="AF7" s="24"/>
      <c r="AG7" s="24"/>
      <c r="AH7" s="24"/>
      <c r="AI7" s="24"/>
    </row>
    <row r="8" spans="1:39" ht="15.5" x14ac:dyDescent="0.35">
      <c r="A8" s="5">
        <v>1</v>
      </c>
      <c r="B8" t="s">
        <v>261</v>
      </c>
      <c r="C8" t="s">
        <v>205</v>
      </c>
      <c r="D8" s="17">
        <v>0.87</v>
      </c>
      <c r="E8" s="17">
        <v>1.19</v>
      </c>
      <c r="F8" s="41" t="s">
        <v>194</v>
      </c>
      <c r="G8" s="53" t="s">
        <v>38</v>
      </c>
      <c r="K8" s="55"/>
      <c r="Z8" s="55"/>
      <c r="AB8" s="25"/>
      <c r="AC8" s="24"/>
      <c r="AD8" s="24"/>
    </row>
    <row r="9" spans="1:39" ht="15.5" x14ac:dyDescent="0.35">
      <c r="A9" s="5">
        <v>1</v>
      </c>
      <c r="B9" t="s">
        <v>260</v>
      </c>
      <c r="C9" t="s">
        <v>205</v>
      </c>
      <c r="D9" s="17">
        <v>1.51</v>
      </c>
      <c r="E9" s="17">
        <v>2.11</v>
      </c>
      <c r="F9" s="41" t="s">
        <v>193</v>
      </c>
      <c r="G9" s="54"/>
      <c r="K9" s="55"/>
      <c r="Z9" s="55"/>
      <c r="AB9" s="25"/>
      <c r="AC9" s="24"/>
      <c r="AD9" s="24"/>
    </row>
    <row r="10" spans="1:39" ht="15.5" x14ac:dyDescent="0.35">
      <c r="A10" s="5">
        <v>1</v>
      </c>
      <c r="B10" t="s">
        <v>262</v>
      </c>
      <c r="C10" t="s">
        <v>205</v>
      </c>
      <c r="D10" s="17">
        <v>0.96</v>
      </c>
      <c r="E10" s="17">
        <v>1.31</v>
      </c>
      <c r="F10" s="41" t="s">
        <v>195</v>
      </c>
      <c r="G10" s="54"/>
      <c r="K10" s="55"/>
      <c r="Z10" s="55"/>
      <c r="AB10" s="25"/>
      <c r="AC10" s="24"/>
      <c r="AD10" s="24"/>
    </row>
    <row r="11" spans="1:39" ht="15.5" x14ac:dyDescent="0.35">
      <c r="A11" s="5">
        <v>1</v>
      </c>
      <c r="B11" t="s">
        <v>263</v>
      </c>
      <c r="C11" t="s">
        <v>205</v>
      </c>
      <c r="D11" s="17">
        <v>2.78</v>
      </c>
      <c r="E11" s="17">
        <v>3.89</v>
      </c>
      <c r="F11" s="41" t="s">
        <v>199</v>
      </c>
      <c r="G11" s="54"/>
      <c r="K11" s="55"/>
      <c r="Z11" s="55"/>
      <c r="AB11" s="25"/>
      <c r="AC11" s="24"/>
      <c r="AD11" s="24"/>
    </row>
    <row r="12" spans="1:39" ht="15.5" x14ac:dyDescent="0.35">
      <c r="A12" s="5">
        <v>1</v>
      </c>
      <c r="B12" t="s">
        <v>264</v>
      </c>
      <c r="C12" t="s">
        <v>205</v>
      </c>
      <c r="D12" s="17">
        <v>4.18</v>
      </c>
      <c r="E12" s="17">
        <v>5.85</v>
      </c>
      <c r="F12" s="41" t="s">
        <v>207</v>
      </c>
      <c r="G12" s="54"/>
      <c r="K12" s="55"/>
      <c r="Z12" s="55"/>
      <c r="AB12" s="25"/>
      <c r="AC12" s="24"/>
      <c r="AD12" s="24"/>
    </row>
    <row r="13" spans="1:39" ht="15.5" x14ac:dyDescent="0.35">
      <c r="A13" s="5">
        <v>1</v>
      </c>
      <c r="B13" t="s">
        <v>265</v>
      </c>
      <c r="C13" t="s">
        <v>205</v>
      </c>
      <c r="D13" s="17">
        <v>2.67</v>
      </c>
      <c r="E13" s="17">
        <v>3.73</v>
      </c>
      <c r="F13" s="41" t="s">
        <v>204</v>
      </c>
      <c r="G13" s="54"/>
      <c r="H13" s="2"/>
      <c r="K13" s="55"/>
      <c r="Z13" s="55"/>
      <c r="AA13" s="4"/>
      <c r="AB13" s="23"/>
      <c r="AC13" s="24"/>
      <c r="AD13" s="24"/>
      <c r="AE13" s="24"/>
      <c r="AF13" s="24"/>
      <c r="AG13" s="24"/>
      <c r="AH13" s="24"/>
      <c r="AI13" s="24"/>
    </row>
    <row r="14" spans="1:39" ht="15.5" x14ac:dyDescent="0.35">
      <c r="A14" s="5">
        <v>1</v>
      </c>
      <c r="B14" t="s">
        <v>266</v>
      </c>
      <c r="C14" t="s">
        <v>205</v>
      </c>
      <c r="D14" s="17">
        <v>1.2</v>
      </c>
      <c r="E14" s="17">
        <v>1.63</v>
      </c>
      <c r="F14" s="41" t="s">
        <v>198</v>
      </c>
      <c r="G14" s="54"/>
      <c r="H14" s="2"/>
      <c r="K14" s="55"/>
      <c r="Z14" s="55"/>
      <c r="AA14" s="4"/>
      <c r="AB14" s="23"/>
    </row>
    <row r="15" spans="1:39" ht="15.5" x14ac:dyDescent="0.35">
      <c r="A15" s="5">
        <v>1</v>
      </c>
      <c r="B15" t="s">
        <v>267</v>
      </c>
      <c r="C15" t="s">
        <v>205</v>
      </c>
      <c r="D15" s="17">
        <v>3.49</v>
      </c>
      <c r="E15" s="17">
        <v>4.8899999999999997</v>
      </c>
      <c r="F15" s="41" t="s">
        <v>196</v>
      </c>
      <c r="G15" s="54"/>
      <c r="K15" s="55"/>
      <c r="Z15" s="55"/>
      <c r="AA15" s="4"/>
      <c r="AB15" s="23"/>
      <c r="AC15" s="24"/>
      <c r="AD15" s="24"/>
      <c r="AE15" s="24"/>
      <c r="AF15" s="24"/>
      <c r="AG15" s="24"/>
      <c r="AH15" s="24"/>
      <c r="AI15" s="24"/>
    </row>
    <row r="16" spans="1:39" ht="15.5" x14ac:dyDescent="0.35">
      <c r="A16" s="5">
        <v>1</v>
      </c>
      <c r="B16" t="s">
        <v>268</v>
      </c>
      <c r="C16" t="s">
        <v>205</v>
      </c>
      <c r="D16" s="17">
        <v>2.69</v>
      </c>
      <c r="E16" s="17">
        <v>3.66</v>
      </c>
      <c r="F16" s="41" t="s">
        <v>197</v>
      </c>
      <c r="G16" s="54"/>
      <c r="K16" s="55"/>
      <c r="Z16" s="55"/>
      <c r="AA16" s="4"/>
      <c r="AB16" s="23"/>
    </row>
    <row r="17" spans="1:39" ht="15.5" x14ac:dyDescent="0.35">
      <c r="A17" s="5">
        <v>1</v>
      </c>
      <c r="B17" t="s">
        <v>269</v>
      </c>
      <c r="C17" t="s">
        <v>205</v>
      </c>
      <c r="D17" s="17">
        <v>6.2</v>
      </c>
      <c r="E17" s="17">
        <v>8.68</v>
      </c>
      <c r="F17" s="41" t="s">
        <v>288</v>
      </c>
      <c r="G17" s="54"/>
      <c r="H17" s="2"/>
      <c r="K17" s="55"/>
      <c r="Z17" s="55"/>
      <c r="AA17" s="4"/>
      <c r="AB17" s="23"/>
      <c r="AC17" s="24"/>
      <c r="AD17" s="24"/>
      <c r="AE17" s="24"/>
      <c r="AF17" s="24"/>
      <c r="AG17" s="24"/>
      <c r="AH17" s="24"/>
      <c r="AI17" s="24"/>
    </row>
    <row r="18" spans="1:39" ht="29" x14ac:dyDescent="0.35">
      <c r="A18" s="5">
        <v>2</v>
      </c>
      <c r="B18" t="s">
        <v>234</v>
      </c>
      <c r="C18" t="s">
        <v>32</v>
      </c>
      <c r="D18" s="17">
        <f>EVs!F80</f>
        <v>2.1899999999999999E-2</v>
      </c>
      <c r="E18" s="17">
        <f>EVs!G80</f>
        <v>4.6574999999999998E-2</v>
      </c>
      <c r="F18" s="41" t="s">
        <v>44</v>
      </c>
      <c r="G18" s="49" t="s">
        <v>45</v>
      </c>
      <c r="H18" s="2" t="s">
        <v>46</v>
      </c>
      <c r="K18" s="55"/>
      <c r="Z18" s="55"/>
      <c r="AA18" s="4"/>
      <c r="AB18" s="23"/>
    </row>
    <row r="19" spans="1:39" ht="15.5" x14ac:dyDescent="0.35">
      <c r="A19" s="5">
        <v>2</v>
      </c>
      <c r="B19" t="s">
        <v>235</v>
      </c>
      <c r="C19" t="s">
        <v>48</v>
      </c>
      <c r="D19" s="17">
        <v>0.5</v>
      </c>
      <c r="E19" s="17">
        <v>1</v>
      </c>
      <c r="F19" s="41" t="s">
        <v>282</v>
      </c>
      <c r="G19" s="2" t="s">
        <v>114</v>
      </c>
      <c r="K19" s="55"/>
      <c r="L19">
        <v>94</v>
      </c>
      <c r="M19" s="19">
        <v>0.2978723404255319</v>
      </c>
      <c r="N19" s="19">
        <v>0.22340425531914893</v>
      </c>
      <c r="O19" s="19">
        <v>0.23404255319148937</v>
      </c>
      <c r="P19" s="19">
        <v>0.15957446808510639</v>
      </c>
      <c r="Q19" s="19">
        <v>8.5106382978723402E-2</v>
      </c>
      <c r="R19" s="19"/>
      <c r="S19" s="19"/>
      <c r="Z19" s="55"/>
      <c r="AA19" s="4">
        <v>11961</v>
      </c>
      <c r="AB19" s="23" t="s">
        <v>21</v>
      </c>
      <c r="AC19" s="24"/>
      <c r="AD19" s="24"/>
      <c r="AE19" s="24"/>
      <c r="AF19" s="24" t="s">
        <v>49</v>
      </c>
      <c r="AG19" s="24" t="s">
        <v>50</v>
      </c>
      <c r="AH19" s="24" t="s">
        <v>51</v>
      </c>
      <c r="AI19" s="24" t="s">
        <v>52</v>
      </c>
      <c r="AJ19" s="24" t="s">
        <v>53</v>
      </c>
      <c r="AK19" s="24" t="s">
        <v>54</v>
      </c>
      <c r="AL19" s="24" t="s">
        <v>55</v>
      </c>
    </row>
    <row r="20" spans="1:39" ht="15.5" x14ac:dyDescent="0.35">
      <c r="A20" s="5">
        <v>2</v>
      </c>
      <c r="B20" t="s">
        <v>273</v>
      </c>
      <c r="C20" t="s">
        <v>57</v>
      </c>
      <c r="D20" s="17">
        <v>0.8</v>
      </c>
      <c r="E20" s="17">
        <v>3.1</v>
      </c>
      <c r="F20" s="41" t="s">
        <v>284</v>
      </c>
      <c r="G20" s="2" t="s">
        <v>283</v>
      </c>
      <c r="K20" s="55"/>
      <c r="L20">
        <v>89</v>
      </c>
      <c r="M20" s="19">
        <v>0.11235955056179775</v>
      </c>
      <c r="N20" s="19">
        <v>8.98876404494382E-2</v>
      </c>
      <c r="O20" s="19">
        <v>0.5168539325842697</v>
      </c>
      <c r="P20" s="19">
        <v>6.741573033707865E-2</v>
      </c>
      <c r="Q20" s="19">
        <v>0.16853932584269662</v>
      </c>
      <c r="R20" s="19"/>
      <c r="S20" s="19">
        <v>4.49438202247191E-2</v>
      </c>
      <c r="Z20" s="55"/>
      <c r="AA20" s="4">
        <v>6824</v>
      </c>
      <c r="AB20" s="23" t="s">
        <v>21</v>
      </c>
      <c r="AC20" s="24">
        <v>32.700000000000003</v>
      </c>
      <c r="AD20" s="24" t="s">
        <v>58</v>
      </c>
      <c r="AE20" s="24" t="s">
        <v>59</v>
      </c>
      <c r="AF20" s="24" t="s">
        <v>28</v>
      </c>
      <c r="AG20" s="24" t="s">
        <v>60</v>
      </c>
      <c r="AH20" s="24" t="s">
        <v>61</v>
      </c>
      <c r="AI20" s="24" t="s">
        <v>27</v>
      </c>
      <c r="AM20" t="s">
        <v>300</v>
      </c>
    </row>
    <row r="21" spans="1:39" ht="15.5" x14ac:dyDescent="0.35">
      <c r="A21" s="5">
        <v>2</v>
      </c>
      <c r="B21" t="s">
        <v>237</v>
      </c>
      <c r="C21" t="s">
        <v>57</v>
      </c>
      <c r="D21" s="17">
        <v>0.48</v>
      </c>
      <c r="E21" s="17">
        <v>0.9</v>
      </c>
      <c r="F21" s="41" t="s">
        <v>285</v>
      </c>
      <c r="G21" s="2" t="s">
        <v>291</v>
      </c>
      <c r="K21" s="55"/>
      <c r="L21">
        <v>182</v>
      </c>
      <c r="M21" s="19">
        <v>0.80769230769230771</v>
      </c>
      <c r="N21" s="19">
        <v>3.2967032967032968E-2</v>
      </c>
      <c r="O21" s="19">
        <v>2.197802197802198E-2</v>
      </c>
      <c r="P21" s="19">
        <v>0.12637362637362637</v>
      </c>
      <c r="Q21" s="19">
        <v>1.098901098901099E-2</v>
      </c>
      <c r="Z21" s="55"/>
      <c r="AA21" s="4">
        <v>19035</v>
      </c>
      <c r="AB21" s="23" t="s">
        <v>21</v>
      </c>
      <c r="AF21" s="24" t="s">
        <v>63</v>
      </c>
      <c r="AG21" s="24" t="s">
        <v>64</v>
      </c>
      <c r="AH21" s="24" t="s">
        <v>65</v>
      </c>
      <c r="AI21" s="24" t="s">
        <v>66</v>
      </c>
      <c r="AJ21" s="24" t="s">
        <v>67</v>
      </c>
      <c r="AK21" s="24" t="s">
        <v>40</v>
      </c>
      <c r="AL21" s="24" t="s">
        <v>42</v>
      </c>
    </row>
    <row r="22" spans="1:39" x14ac:dyDescent="0.35">
      <c r="A22" s="5">
        <v>3</v>
      </c>
      <c r="B22" t="s">
        <v>238</v>
      </c>
      <c r="C22" t="s">
        <v>70</v>
      </c>
      <c r="D22" s="17">
        <f>1.2*15/60</f>
        <v>0.3</v>
      </c>
      <c r="E22" s="17">
        <f>1.5*30/60</f>
        <v>0.75</v>
      </c>
      <c r="F22" s="41" t="s">
        <v>71</v>
      </c>
      <c r="G22" s="49" t="s">
        <v>294</v>
      </c>
      <c r="K22" s="55"/>
      <c r="Z22" s="55"/>
    </row>
    <row r="23" spans="1:39" ht="15.5" x14ac:dyDescent="0.35">
      <c r="A23" s="5">
        <v>3</v>
      </c>
      <c r="B23" t="s">
        <v>239</v>
      </c>
      <c r="C23" t="s">
        <v>73</v>
      </c>
      <c r="D23" s="17">
        <f>20/1000*2*1</f>
        <v>0.04</v>
      </c>
      <c r="E23" s="17">
        <f>20/1000*3*2</f>
        <v>0.12</v>
      </c>
      <c r="F23" s="41" t="s">
        <v>74</v>
      </c>
      <c r="G23" s="49" t="s">
        <v>296</v>
      </c>
      <c r="K23" s="55"/>
      <c r="Z23" s="55"/>
      <c r="AB23" s="25"/>
      <c r="AC23" s="24"/>
      <c r="AD23" s="24"/>
    </row>
    <row r="24" spans="1:39" ht="15.5" x14ac:dyDescent="0.35">
      <c r="A24" s="5">
        <v>3</v>
      </c>
      <c r="B24" t="s">
        <v>240</v>
      </c>
      <c r="C24" t="s">
        <v>76</v>
      </c>
      <c r="D24" s="17">
        <f>1.3*2/60</f>
        <v>4.3333333333333335E-2</v>
      </c>
      <c r="E24" s="17">
        <f>1.3*2/60*2</f>
        <v>8.666666666666667E-2</v>
      </c>
      <c r="F24" s="41" t="s">
        <v>274</v>
      </c>
      <c r="G24" s="49" t="s">
        <v>77</v>
      </c>
      <c r="K24" s="55"/>
      <c r="Z24" s="55"/>
      <c r="AA24" s="4"/>
      <c r="AB24" s="23" t="s">
        <v>21</v>
      </c>
    </row>
    <row r="25" spans="1:39" x14ac:dyDescent="0.35">
      <c r="A25" s="5">
        <v>3</v>
      </c>
      <c r="B25" t="s">
        <v>242</v>
      </c>
      <c r="C25" t="s">
        <v>78</v>
      </c>
      <c r="D25" s="17">
        <f>3*30/60*0.6</f>
        <v>0.89999999999999991</v>
      </c>
      <c r="E25" s="17">
        <f>3*1*0.6</f>
        <v>1.7999999999999998</v>
      </c>
      <c r="F25" s="41" t="s">
        <v>259</v>
      </c>
      <c r="G25" s="49" t="s">
        <v>79</v>
      </c>
      <c r="K25" s="55"/>
      <c r="Z25" s="55"/>
    </row>
    <row r="26" spans="1:39" x14ac:dyDescent="0.35">
      <c r="A26" s="5">
        <v>3</v>
      </c>
      <c r="B26" t="s">
        <v>243</v>
      </c>
      <c r="C26" t="s">
        <v>81</v>
      </c>
      <c r="D26" s="17">
        <f>5/60*3</f>
        <v>0.25</v>
      </c>
      <c r="E26" s="17">
        <f>10/60*3</f>
        <v>0.5</v>
      </c>
      <c r="F26" s="41" t="s">
        <v>275</v>
      </c>
      <c r="G26" s="49" t="s">
        <v>295</v>
      </c>
      <c r="K26" s="55"/>
      <c r="Z26" s="55"/>
    </row>
    <row r="27" spans="1:39" ht="15.5" x14ac:dyDescent="0.35">
      <c r="A27" s="5">
        <v>3</v>
      </c>
      <c r="B27" t="s">
        <v>244</v>
      </c>
      <c r="C27" t="s">
        <v>83</v>
      </c>
      <c r="D27" s="17">
        <f>0.125*2</f>
        <v>0.25</v>
      </c>
      <c r="E27" s="17">
        <f>0.22*3</f>
        <v>0.66</v>
      </c>
      <c r="F27" s="41" t="s">
        <v>84</v>
      </c>
      <c r="G27" s="49" t="s">
        <v>85</v>
      </c>
      <c r="K27" s="55"/>
      <c r="Z27" s="55"/>
      <c r="AB27" s="25"/>
      <c r="AC27" s="24"/>
      <c r="AD27" s="24"/>
    </row>
    <row r="28" spans="1:39" ht="15.5" x14ac:dyDescent="0.35">
      <c r="A28" s="5">
        <v>3</v>
      </c>
      <c r="B28" t="s">
        <v>245</v>
      </c>
      <c r="C28" t="s">
        <v>39</v>
      </c>
      <c r="D28" s="17">
        <f>10*4*4/1000</f>
        <v>0.16</v>
      </c>
      <c r="E28" s="17">
        <f>20*4*8/1000</f>
        <v>0.64</v>
      </c>
      <c r="F28" s="41" t="s">
        <v>87</v>
      </c>
      <c r="G28" s="49" t="s">
        <v>88</v>
      </c>
      <c r="H28" s="2"/>
      <c r="K28" s="55"/>
      <c r="Z28" s="55"/>
      <c r="AB28" s="23"/>
      <c r="AC28" s="23"/>
      <c r="AD28" s="23"/>
    </row>
    <row r="29" spans="1:39" ht="15.5" x14ac:dyDescent="0.35">
      <c r="A29" s="5">
        <v>3</v>
      </c>
      <c r="B29" t="s">
        <v>89</v>
      </c>
      <c r="C29" t="s">
        <v>90</v>
      </c>
      <c r="D29" s="17">
        <v>0.7</v>
      </c>
      <c r="E29" s="17">
        <v>1.1000000000000001</v>
      </c>
      <c r="F29" s="41" t="s">
        <v>297</v>
      </c>
      <c r="G29" s="49" t="s">
        <v>290</v>
      </c>
      <c r="H29" s="2"/>
      <c r="K29" s="55"/>
      <c r="L29">
        <v>109</v>
      </c>
      <c r="M29" s="19">
        <v>0.8165137614678899</v>
      </c>
      <c r="N29" s="19">
        <v>2.7522935779816515E-2</v>
      </c>
      <c r="O29" s="19">
        <v>8.2568807339449546E-2</v>
      </c>
      <c r="P29" s="19">
        <v>2.7522935779816515E-2</v>
      </c>
      <c r="Q29" s="19">
        <v>2.7522935779816515E-2</v>
      </c>
      <c r="R29" s="19">
        <v>9.1743119266055051E-3</v>
      </c>
      <c r="S29" s="19">
        <v>9.1743119266055051E-3</v>
      </c>
      <c r="U29" s="2"/>
      <c r="Z29" s="55"/>
      <c r="AA29" s="4">
        <v>24382</v>
      </c>
      <c r="AB29" s="23" t="s">
        <v>21</v>
      </c>
      <c r="AC29" s="24" t="s">
        <v>28</v>
      </c>
      <c r="AD29" s="24">
        <v>4.2</v>
      </c>
      <c r="AE29" s="24">
        <v>27.6</v>
      </c>
      <c r="AF29" s="24" t="s">
        <v>91</v>
      </c>
      <c r="AG29" s="24" t="s">
        <v>41</v>
      </c>
      <c r="AH29" s="24" t="s">
        <v>28</v>
      </c>
      <c r="AI29" s="24" t="s">
        <v>28</v>
      </c>
      <c r="AM29" t="s">
        <v>300</v>
      </c>
    </row>
    <row r="30" spans="1:39" ht="15.5" x14ac:dyDescent="0.35">
      <c r="A30" s="5">
        <v>3</v>
      </c>
      <c r="B30" t="s">
        <v>281</v>
      </c>
      <c r="C30" t="s">
        <v>93</v>
      </c>
      <c r="D30" s="17">
        <f>100/8760*5</f>
        <v>5.7077625570776253E-2</v>
      </c>
      <c r="E30" s="17">
        <f>300/8760*5</f>
        <v>0.17123287671232876</v>
      </c>
      <c r="F30" s="41" t="s">
        <v>286</v>
      </c>
      <c r="G30" s="49" t="s">
        <v>289</v>
      </c>
      <c r="H30" s="2"/>
      <c r="K30" s="55"/>
      <c r="L30">
        <v>358</v>
      </c>
      <c r="M30" s="19">
        <v>4.4692737430167599E-2</v>
      </c>
      <c r="N30" s="19">
        <v>3.6312849162011177E-2</v>
      </c>
      <c r="O30" s="19">
        <v>0.16480446927374301</v>
      </c>
      <c r="P30" s="19">
        <v>0.20670391061452514</v>
      </c>
      <c r="Q30" s="19">
        <v>0.51396648044692739</v>
      </c>
      <c r="R30" s="19">
        <v>2.7932960893854747E-2</v>
      </c>
      <c r="S30" s="19">
        <v>5.5865921787709499E-3</v>
      </c>
      <c r="U30" s="2"/>
      <c r="Z30" s="55"/>
      <c r="AA30" s="4">
        <v>46291</v>
      </c>
      <c r="AB30" s="23" t="s">
        <v>21</v>
      </c>
      <c r="AF30" s="24" t="s">
        <v>94</v>
      </c>
      <c r="AG30" s="24" t="s">
        <v>55</v>
      </c>
      <c r="AH30" s="24" t="s">
        <v>54</v>
      </c>
      <c r="AI30" s="24" t="s">
        <v>50</v>
      </c>
      <c r="AJ30" s="24" t="s">
        <v>95</v>
      </c>
      <c r="AK30" s="24" t="s">
        <v>96</v>
      </c>
      <c r="AL30" s="24" t="s">
        <v>97</v>
      </c>
    </row>
    <row r="31" spans="1:39" ht="15.5" x14ac:dyDescent="0.35">
      <c r="A31" s="5">
        <v>3</v>
      </c>
      <c r="B31" t="s">
        <v>292</v>
      </c>
      <c r="C31" t="s">
        <v>36</v>
      </c>
      <c r="D31" s="17">
        <f>117/1000</f>
        <v>0.11700000000000001</v>
      </c>
      <c r="E31" s="17">
        <f>318/1000</f>
        <v>0.318</v>
      </c>
      <c r="F31" s="41" t="s">
        <v>303</v>
      </c>
      <c r="G31" s="49" t="s">
        <v>293</v>
      </c>
      <c r="H31" s="2"/>
      <c r="K31" s="55"/>
      <c r="L31">
        <v>443</v>
      </c>
      <c r="M31" s="19">
        <v>0</v>
      </c>
      <c r="N31" s="19">
        <v>0</v>
      </c>
      <c r="O31" s="19">
        <v>0</v>
      </c>
      <c r="P31" s="19">
        <v>1.580135440180587E-2</v>
      </c>
      <c r="Q31" s="19">
        <v>0.32054176072234764</v>
      </c>
      <c r="R31" s="19">
        <v>0.34085778781038373</v>
      </c>
      <c r="S31" s="19">
        <v>0.32279909706546278</v>
      </c>
      <c r="U31" s="2"/>
      <c r="Z31" s="55"/>
      <c r="AB31" s="25"/>
      <c r="AC31" s="24"/>
      <c r="AD31" s="24"/>
    </row>
    <row r="32" spans="1:39" ht="15.5" x14ac:dyDescent="0.35">
      <c r="A32" s="5">
        <v>3</v>
      </c>
      <c r="B32" t="s">
        <v>248</v>
      </c>
      <c r="C32" t="s">
        <v>100</v>
      </c>
      <c r="D32" s="17">
        <v>0.3</v>
      </c>
      <c r="E32" s="17">
        <v>0.45</v>
      </c>
      <c r="F32" s="41" t="s">
        <v>287</v>
      </c>
      <c r="G32" s="49" t="s">
        <v>276</v>
      </c>
      <c r="AA32" s="4"/>
      <c r="AB32" s="23" t="s">
        <v>21</v>
      </c>
    </row>
    <row r="33" spans="2:30" ht="15.5" x14ac:dyDescent="0.35">
      <c r="B33" s="7"/>
      <c r="AB33" s="25"/>
      <c r="AC33" s="24"/>
      <c r="AD33" s="24"/>
    </row>
    <row r="34" spans="2:30" x14ac:dyDescent="0.35">
      <c r="B34" s="7"/>
    </row>
    <row r="35" spans="2:30" x14ac:dyDescent="0.35">
      <c r="B35" s="7"/>
    </row>
    <row r="36" spans="2:30" x14ac:dyDescent="0.35">
      <c r="B36" s="7"/>
    </row>
    <row r="37" spans="2:30" x14ac:dyDescent="0.35">
      <c r="B37" s="7"/>
    </row>
    <row r="38" spans="2:30" x14ac:dyDescent="0.35">
      <c r="B38" s="7"/>
    </row>
  </sheetData>
  <mergeCells count="4">
    <mergeCell ref="G8:G17"/>
    <mergeCell ref="K1:K31"/>
    <mergeCell ref="Z1:Z31"/>
    <mergeCell ref="G4:G5"/>
  </mergeCells>
  <phoneticPr fontId="3" type="noConversion"/>
  <hyperlinks>
    <hyperlink ref="G24" r:id="rId1" xr:uid="{00000000-0004-0000-0000-00000A000000}"/>
    <hyperlink ref="G32" r:id="rId2" xr:uid="{00000000-0004-0000-0000-00000B000000}"/>
    <hyperlink ref="G2" r:id="rId3" xr:uid="{0D3D7A99-517B-4799-B2A3-F5395C03829F}"/>
    <hyperlink ref="G3" r:id="rId4" xr:uid="{724DF0F1-C8EB-4502-B468-D6837935B857}"/>
    <hyperlink ref="G4" r:id="rId5" xr:uid="{C004AE24-FF24-49E7-8307-7BBCBCC7D773}"/>
    <hyperlink ref="G18" r:id="rId6" location=":~:text=Fietsen%20naar%20geslacht%20en%20leeftijd&amp;text=Gemiddeld%20fietsten%20vrouwen%202%2C7,dag%20de%20langste%20afstand%20af." xr:uid="{13A37D79-EDE1-4129-B3F3-1FB4F6FFC5B2}"/>
    <hyperlink ref="G6" r:id="rId7" xr:uid="{44F1AD9B-1C5F-478B-971C-0CE9F43E4B0C}"/>
    <hyperlink ref="G26" r:id="rId8" xr:uid="{BA3E74C4-FE85-4D6B-BB78-A05A6A9570A6}"/>
    <hyperlink ref="G25" r:id="rId9" xr:uid="{A4A7C9FA-58EB-4E01-8466-F7291023567B}"/>
    <hyperlink ref="G28" r:id="rId10" xr:uid="{C8F56B5E-DF31-43C6-AC72-A9D5BADA8EC1}"/>
    <hyperlink ref="G27" r:id="rId11" xr:uid="{8A4D12D3-6D24-456C-A963-D5892CFC1190}"/>
    <hyperlink ref="G7" r:id="rId12" location="14726" xr:uid="{9255F04B-CDE7-479A-8525-927BB3FC7A9C}"/>
    <hyperlink ref="G19" r:id="rId13" xr:uid="{1B66E8D6-8E0E-4D02-8B0B-B9D34CEEFD7C}"/>
    <hyperlink ref="G21" r:id="rId14" xr:uid="{59368A51-1EA4-46F1-9F61-752112FA251B}"/>
    <hyperlink ref="G20" r:id="rId15" xr:uid="{F83ED316-61FD-4EA9-8F5F-3103B7363E1A}"/>
    <hyperlink ref="G22" r:id="rId16" xr:uid="{0DB7B07F-DF3A-4C38-BC31-F8E21FEE2BCF}"/>
    <hyperlink ref="G30" r:id="rId17" xr:uid="{1870AE8A-FADE-44AB-9FF2-B66AA257CEA5}"/>
    <hyperlink ref="G29" r:id="rId18" xr:uid="{CEEF67E9-229A-435A-A8AE-B4276D2B35ED}"/>
    <hyperlink ref="G31" r:id="rId19" xr:uid="{10896A7A-E250-418A-81EF-8CCDDB26E973}"/>
    <hyperlink ref="H18" r:id="rId20" xr:uid="{9FE263AA-C45F-45C3-B633-8F13A3E1C319}"/>
    <hyperlink ref="G8" r:id="rId21" xr:uid="{2CC05C6B-D070-4367-8922-0355AD327D6F}"/>
    <hyperlink ref="G23" r:id="rId22" xr:uid="{20FA4F64-1CBB-4F3B-B16D-6104661B77AA}"/>
  </hyperlinks>
  <pageMargins left="0.7" right="0.7" top="0.75" bottom="0.75" header="0.3" footer="0.3"/>
  <pageSetup paperSize="9" orientation="portrait" r:id="rId23"/>
  <drawing r:id="rId2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C0EF5-7EF9-4C38-B1FB-76D9C8BEF231}">
  <dimension ref="A1:C32"/>
  <sheetViews>
    <sheetView workbookViewId="0">
      <selection activeCell="C2" sqref="C2:C32"/>
    </sheetView>
  </sheetViews>
  <sheetFormatPr defaultRowHeight="14.5" x14ac:dyDescent="0.35"/>
  <sheetData>
    <row r="1" spans="1:3" ht="29" x14ac:dyDescent="0.35">
      <c r="A1" s="35" t="s">
        <v>208</v>
      </c>
      <c r="B1" s="35" t="s">
        <v>209</v>
      </c>
      <c r="C1" s="35" t="s">
        <v>210</v>
      </c>
    </row>
    <row r="2" spans="1:3" ht="58" x14ac:dyDescent="0.35">
      <c r="A2" s="36">
        <v>1</v>
      </c>
      <c r="B2" s="36" t="s">
        <v>17</v>
      </c>
      <c r="C2" s="36" t="s">
        <v>211</v>
      </c>
    </row>
    <row r="3" spans="1:3" ht="58" x14ac:dyDescent="0.35">
      <c r="A3" s="36">
        <v>1</v>
      </c>
      <c r="B3" s="36" t="s">
        <v>29</v>
      </c>
      <c r="C3" s="36" t="s">
        <v>212</v>
      </c>
    </row>
    <row r="4" spans="1:3" ht="87" x14ac:dyDescent="0.35">
      <c r="A4" s="36">
        <v>1</v>
      </c>
      <c r="B4" s="36" t="s">
        <v>167</v>
      </c>
      <c r="C4" s="36" t="s">
        <v>213</v>
      </c>
    </row>
    <row r="5" spans="1:3" ht="87" x14ac:dyDescent="0.35">
      <c r="A5" s="36">
        <v>1</v>
      </c>
      <c r="B5" s="36" t="s">
        <v>168</v>
      </c>
      <c r="C5" s="36" t="s">
        <v>214</v>
      </c>
    </row>
    <row r="6" spans="1:3" ht="87" x14ac:dyDescent="0.35">
      <c r="A6" s="36">
        <v>1</v>
      </c>
      <c r="B6" s="36" t="s">
        <v>165</v>
      </c>
      <c r="C6" s="36" t="s">
        <v>215</v>
      </c>
    </row>
    <row r="7" spans="1:3" ht="116" x14ac:dyDescent="0.35">
      <c r="A7" s="36">
        <v>1</v>
      </c>
      <c r="B7" s="36" t="s">
        <v>166</v>
      </c>
      <c r="C7" s="36" t="s">
        <v>216</v>
      </c>
    </row>
    <row r="8" spans="1:3" ht="130.5" x14ac:dyDescent="0.35">
      <c r="A8" s="36">
        <v>1</v>
      </c>
      <c r="B8" s="36" t="s">
        <v>217</v>
      </c>
      <c r="C8" s="36" t="s">
        <v>218</v>
      </c>
    </row>
    <row r="9" spans="1:3" ht="145" x14ac:dyDescent="0.35">
      <c r="A9" s="36">
        <v>1</v>
      </c>
      <c r="B9" s="36" t="s">
        <v>219</v>
      </c>
      <c r="C9" s="36" t="s">
        <v>220</v>
      </c>
    </row>
    <row r="10" spans="1:3" ht="116" x14ac:dyDescent="0.35">
      <c r="A10" s="36">
        <v>1</v>
      </c>
      <c r="B10" s="36" t="s">
        <v>35</v>
      </c>
      <c r="C10" s="36" t="s">
        <v>221</v>
      </c>
    </row>
    <row r="11" spans="1:3" ht="130.5" x14ac:dyDescent="0.35">
      <c r="A11" s="36">
        <v>1</v>
      </c>
      <c r="B11" s="36" t="s">
        <v>37</v>
      </c>
      <c r="C11" s="36" t="s">
        <v>222</v>
      </c>
    </row>
    <row r="12" spans="1:3" ht="130.5" x14ac:dyDescent="0.35">
      <c r="A12" s="36">
        <v>1</v>
      </c>
      <c r="B12" s="36" t="s">
        <v>206</v>
      </c>
      <c r="C12" s="36" t="s">
        <v>223</v>
      </c>
    </row>
    <row r="13" spans="1:3" ht="116" x14ac:dyDescent="0.35">
      <c r="A13" s="36">
        <v>1</v>
      </c>
      <c r="B13" s="36" t="s">
        <v>224</v>
      </c>
      <c r="C13" s="36" t="s">
        <v>225</v>
      </c>
    </row>
    <row r="14" spans="1:3" ht="116" x14ac:dyDescent="0.35">
      <c r="A14" s="36">
        <v>1</v>
      </c>
      <c r="B14" s="36" t="s">
        <v>226</v>
      </c>
      <c r="C14" s="36" t="s">
        <v>227</v>
      </c>
    </row>
    <row r="15" spans="1:3" ht="116" x14ac:dyDescent="0.35">
      <c r="A15" s="36">
        <v>1</v>
      </c>
      <c r="B15" s="36" t="s">
        <v>228</v>
      </c>
      <c r="C15" s="36" t="s">
        <v>229</v>
      </c>
    </row>
    <row r="16" spans="1:3" ht="130.5" x14ac:dyDescent="0.35">
      <c r="A16" s="36">
        <v>1</v>
      </c>
      <c r="B16" s="36" t="s">
        <v>230</v>
      </c>
      <c r="C16" s="36" t="s">
        <v>231</v>
      </c>
    </row>
    <row r="17" spans="1:3" ht="130.5" x14ac:dyDescent="0.35">
      <c r="A17" s="36">
        <v>1</v>
      </c>
      <c r="B17" s="36" t="s">
        <v>232</v>
      </c>
      <c r="C17" s="36" t="s">
        <v>233</v>
      </c>
    </row>
    <row r="18" spans="1:3" ht="43.5" x14ac:dyDescent="0.35">
      <c r="A18" s="36">
        <v>2</v>
      </c>
      <c r="B18" s="36" t="s">
        <v>43</v>
      </c>
      <c r="C18" s="36" t="s">
        <v>234</v>
      </c>
    </row>
    <row r="19" spans="1:3" ht="29" x14ac:dyDescent="0.35">
      <c r="A19" s="36">
        <v>2</v>
      </c>
      <c r="B19" s="36" t="s">
        <v>47</v>
      </c>
      <c r="C19" s="36" t="s">
        <v>235</v>
      </c>
    </row>
    <row r="20" spans="1:3" ht="29" x14ac:dyDescent="0.35">
      <c r="A20" s="36">
        <v>2</v>
      </c>
      <c r="B20" s="36" t="s">
        <v>56</v>
      </c>
      <c r="C20" s="36" t="s">
        <v>236</v>
      </c>
    </row>
    <row r="21" spans="1:3" ht="29" x14ac:dyDescent="0.35">
      <c r="A21" s="36">
        <v>2</v>
      </c>
      <c r="B21" s="36" t="s">
        <v>62</v>
      </c>
      <c r="C21" s="36" t="s">
        <v>237</v>
      </c>
    </row>
    <row r="22" spans="1:3" x14ac:dyDescent="0.35">
      <c r="A22" s="36">
        <v>3</v>
      </c>
      <c r="B22" s="36" t="s">
        <v>69</v>
      </c>
      <c r="C22" s="36" t="s">
        <v>238</v>
      </c>
    </row>
    <row r="23" spans="1:3" ht="29" x14ac:dyDescent="0.35">
      <c r="A23" s="36">
        <v>3</v>
      </c>
      <c r="B23" s="36" t="s">
        <v>72</v>
      </c>
      <c r="C23" s="36" t="s">
        <v>239</v>
      </c>
    </row>
    <row r="24" spans="1:3" ht="29" x14ac:dyDescent="0.35">
      <c r="A24" s="36">
        <v>3</v>
      </c>
      <c r="B24" s="36" t="s">
        <v>75</v>
      </c>
      <c r="C24" s="36" t="s">
        <v>240</v>
      </c>
    </row>
    <row r="25" spans="1:3" ht="72.5" x14ac:dyDescent="0.35">
      <c r="A25" s="36">
        <v>3</v>
      </c>
      <c r="B25" s="36" t="s">
        <v>241</v>
      </c>
      <c r="C25" s="36" t="s">
        <v>242</v>
      </c>
    </row>
    <row r="26" spans="1:3" ht="58" x14ac:dyDescent="0.35">
      <c r="A26" s="36">
        <v>3</v>
      </c>
      <c r="B26" s="36" t="s">
        <v>80</v>
      </c>
      <c r="C26" s="36" t="s">
        <v>243</v>
      </c>
    </row>
    <row r="27" spans="1:3" ht="72.5" x14ac:dyDescent="0.35">
      <c r="A27" s="36">
        <v>3</v>
      </c>
      <c r="B27" s="36" t="s">
        <v>82</v>
      </c>
      <c r="C27" s="36" t="s">
        <v>244</v>
      </c>
    </row>
    <row r="28" spans="1:3" ht="43.5" x14ac:dyDescent="0.35">
      <c r="A28" s="36">
        <v>3</v>
      </c>
      <c r="B28" s="36" t="s">
        <v>86</v>
      </c>
      <c r="C28" s="36" t="s">
        <v>245</v>
      </c>
    </row>
    <row r="29" spans="1:3" x14ac:dyDescent="0.35">
      <c r="A29" s="36">
        <v>3</v>
      </c>
      <c r="B29" s="36" t="s">
        <v>89</v>
      </c>
      <c r="C29" s="36" t="s">
        <v>89</v>
      </c>
    </row>
    <row r="30" spans="1:3" ht="29" x14ac:dyDescent="0.35">
      <c r="A30" s="36">
        <v>3</v>
      </c>
      <c r="B30" s="36" t="s">
        <v>92</v>
      </c>
      <c r="C30" s="36" t="s">
        <v>246</v>
      </c>
    </row>
    <row r="31" spans="1:3" ht="29" x14ac:dyDescent="0.35">
      <c r="A31" s="36">
        <v>3</v>
      </c>
      <c r="B31" s="36" t="s">
        <v>98</v>
      </c>
      <c r="C31" s="36" t="s">
        <v>247</v>
      </c>
    </row>
    <row r="32" spans="1:3" ht="29" x14ac:dyDescent="0.35">
      <c r="A32" s="36">
        <v>3</v>
      </c>
      <c r="B32" s="36" t="s">
        <v>99</v>
      </c>
      <c r="C32" s="36" t="s">
        <v>248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7478A-3A7B-4E6B-9AA5-271D67AD1C45}">
  <dimension ref="A1:B15"/>
  <sheetViews>
    <sheetView workbookViewId="0">
      <selection activeCell="A14" sqref="A14"/>
    </sheetView>
  </sheetViews>
  <sheetFormatPr defaultRowHeight="14.5" x14ac:dyDescent="0.35"/>
  <cols>
    <col min="1" max="1" width="40.54296875" bestFit="1" customWidth="1"/>
  </cols>
  <sheetData>
    <row r="1" spans="1:2" x14ac:dyDescent="0.35">
      <c r="A1" s="1" t="s">
        <v>0</v>
      </c>
    </row>
    <row r="2" spans="1:2" x14ac:dyDescent="0.35">
      <c r="A2" t="s">
        <v>92</v>
      </c>
      <c r="B2" t="s">
        <v>101</v>
      </c>
    </row>
    <row r="3" spans="1:2" x14ac:dyDescent="0.35">
      <c r="A3" t="s">
        <v>75</v>
      </c>
      <c r="B3" t="s">
        <v>102</v>
      </c>
    </row>
    <row r="4" spans="1:2" x14ac:dyDescent="0.35">
      <c r="A4" t="s">
        <v>99</v>
      </c>
      <c r="B4" t="s">
        <v>103</v>
      </c>
    </row>
    <row r="5" spans="1:2" x14ac:dyDescent="0.35">
      <c r="A5" t="s">
        <v>62</v>
      </c>
      <c r="B5" t="s">
        <v>104</v>
      </c>
    </row>
    <row r="6" spans="1:2" x14ac:dyDescent="0.35">
      <c r="A6" t="s">
        <v>47</v>
      </c>
      <c r="B6" t="s">
        <v>104</v>
      </c>
    </row>
    <row r="7" spans="1:2" x14ac:dyDescent="0.35">
      <c r="A7" t="s">
        <v>89</v>
      </c>
      <c r="B7" t="s">
        <v>105</v>
      </c>
    </row>
    <row r="8" spans="1:2" x14ac:dyDescent="0.35">
      <c r="A8" t="s">
        <v>106</v>
      </c>
      <c r="B8" t="s">
        <v>107</v>
      </c>
    </row>
    <row r="9" spans="1:2" x14ac:dyDescent="0.35">
      <c r="A9" t="s">
        <v>56</v>
      </c>
      <c r="B9" t="s">
        <v>108</v>
      </c>
    </row>
    <row r="10" spans="1:2" x14ac:dyDescent="0.35">
      <c r="A10" t="s">
        <v>29</v>
      </c>
      <c r="B10" t="s">
        <v>109</v>
      </c>
    </row>
    <row r="11" spans="1:2" x14ac:dyDescent="0.35">
      <c r="A11" t="s">
        <v>68</v>
      </c>
      <c r="B11" t="s">
        <v>110</v>
      </c>
    </row>
    <row r="12" spans="1:2" x14ac:dyDescent="0.35">
      <c r="A12" t="s">
        <v>111</v>
      </c>
      <c r="B12" t="s">
        <v>109</v>
      </c>
    </row>
    <row r="13" spans="1:2" x14ac:dyDescent="0.35">
      <c r="A13" t="s">
        <v>17</v>
      </c>
      <c r="B13" t="s">
        <v>107</v>
      </c>
    </row>
    <row r="14" spans="1:2" x14ac:dyDescent="0.35">
      <c r="A14" t="s">
        <v>112</v>
      </c>
      <c r="B14" t="s">
        <v>109</v>
      </c>
    </row>
    <row r="15" spans="1:2" x14ac:dyDescent="0.35">
      <c r="A15" t="s">
        <v>113</v>
      </c>
      <c r="B15" t="s">
        <v>107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F2D8D-E73A-4738-AE9B-6B1BBE89C6E6}">
  <sheetPr>
    <tabColor theme="0"/>
  </sheetPr>
  <dimension ref="B2:S83"/>
  <sheetViews>
    <sheetView topLeftCell="A65" workbookViewId="0">
      <selection activeCell="F77" sqref="F77"/>
    </sheetView>
  </sheetViews>
  <sheetFormatPr defaultColWidth="9.1796875" defaultRowHeight="14.5" x14ac:dyDescent="0.35"/>
  <cols>
    <col min="1" max="4" width="9.1796875" style="8"/>
    <col min="5" max="5" width="56.1796875" style="8" bestFit="1" customWidth="1"/>
    <col min="6" max="6" width="28" style="8" bestFit="1" customWidth="1"/>
    <col min="7" max="7" width="29.81640625" style="8" bestFit="1" customWidth="1"/>
    <col min="8" max="8" width="30.453125" style="8" bestFit="1" customWidth="1"/>
    <col min="9" max="11" width="11.453125" style="8" bestFit="1" customWidth="1"/>
    <col min="12" max="16384" width="9.1796875" style="8"/>
  </cols>
  <sheetData>
    <row r="2" spans="2:11" x14ac:dyDescent="0.35">
      <c r="E2" s="56" t="s">
        <v>115</v>
      </c>
      <c r="F2" s="56"/>
      <c r="G2" s="56"/>
      <c r="H2" s="56"/>
      <c r="I2" s="56"/>
      <c r="J2" s="56"/>
      <c r="K2" s="56"/>
    </row>
    <row r="3" spans="2:11" x14ac:dyDescent="0.35">
      <c r="E3" s="9"/>
      <c r="F3" s="9">
        <v>2018</v>
      </c>
      <c r="G3" s="9">
        <v>2019</v>
      </c>
      <c r="H3" s="9">
        <v>2020</v>
      </c>
      <c r="I3" s="9">
        <v>2021</v>
      </c>
      <c r="J3" s="9">
        <v>2022</v>
      </c>
      <c r="K3" s="43" t="s">
        <v>116</v>
      </c>
    </row>
    <row r="4" spans="2:11" x14ac:dyDescent="0.35">
      <c r="E4" s="9" t="s">
        <v>117</v>
      </c>
      <c r="F4" s="10">
        <v>13198</v>
      </c>
      <c r="G4" s="10">
        <v>13060</v>
      </c>
      <c r="H4" s="10">
        <v>10660</v>
      </c>
      <c r="I4" s="10">
        <v>11115</v>
      </c>
      <c r="J4" s="10">
        <v>12024</v>
      </c>
      <c r="K4" s="10">
        <v>12353</v>
      </c>
    </row>
    <row r="5" spans="2:11" x14ac:dyDescent="0.35">
      <c r="E5" s="9" t="s">
        <v>118</v>
      </c>
      <c r="F5" s="10">
        <v>10919</v>
      </c>
      <c r="G5" s="10">
        <v>11032</v>
      </c>
      <c r="H5" s="10">
        <v>9323</v>
      </c>
      <c r="I5" s="10">
        <v>9867</v>
      </c>
      <c r="J5" s="10">
        <v>10686</v>
      </c>
      <c r="K5" s="10">
        <v>11116</v>
      </c>
    </row>
    <row r="6" spans="2:11" x14ac:dyDescent="0.35">
      <c r="E6" s="9" t="s">
        <v>119</v>
      </c>
      <c r="F6" s="10">
        <v>23646</v>
      </c>
      <c r="G6" s="10">
        <v>23137</v>
      </c>
      <c r="H6" s="10">
        <v>17944</v>
      </c>
      <c r="I6" s="10">
        <v>18147</v>
      </c>
      <c r="J6" s="10">
        <v>19258</v>
      </c>
      <c r="K6" s="10">
        <v>18547</v>
      </c>
    </row>
    <row r="7" spans="2:11" x14ac:dyDescent="0.35">
      <c r="E7" s="9" t="s">
        <v>120</v>
      </c>
      <c r="F7" s="10">
        <v>14392</v>
      </c>
      <c r="G7" s="10">
        <v>13612</v>
      </c>
      <c r="H7" s="10">
        <v>12478</v>
      </c>
      <c r="I7" s="10">
        <v>15032</v>
      </c>
      <c r="J7" s="10">
        <v>17857</v>
      </c>
      <c r="K7" s="10">
        <v>18242</v>
      </c>
    </row>
    <row r="8" spans="2:11" x14ac:dyDescent="0.35">
      <c r="E8" s="9" t="s">
        <v>121</v>
      </c>
      <c r="F8" s="10">
        <v>15593</v>
      </c>
      <c r="G8" s="10">
        <v>15163</v>
      </c>
      <c r="H8" s="10">
        <v>12224</v>
      </c>
      <c r="I8" s="10">
        <v>12715</v>
      </c>
      <c r="J8" s="10">
        <v>13516</v>
      </c>
      <c r="K8" s="10">
        <v>13618</v>
      </c>
    </row>
    <row r="9" spans="2:11" x14ac:dyDescent="0.35">
      <c r="B9" s="11"/>
      <c r="E9" s="9" t="s">
        <v>122</v>
      </c>
      <c r="F9" s="10">
        <v>25176</v>
      </c>
      <c r="G9" s="10">
        <v>22922</v>
      </c>
      <c r="H9" s="10">
        <v>15423</v>
      </c>
      <c r="I9" s="10">
        <v>14716</v>
      </c>
      <c r="J9" s="10">
        <v>16750</v>
      </c>
      <c r="K9" s="10">
        <v>16946</v>
      </c>
    </row>
    <row r="10" spans="2:11" x14ac:dyDescent="0.35">
      <c r="E10" s="9" t="s">
        <v>123</v>
      </c>
      <c r="F10" s="10">
        <v>25571</v>
      </c>
      <c r="G10" s="10">
        <v>25097</v>
      </c>
      <c r="H10" s="10">
        <v>18043</v>
      </c>
      <c r="I10" s="10">
        <v>19619</v>
      </c>
      <c r="J10" s="10">
        <v>20808</v>
      </c>
      <c r="K10" s="10">
        <v>20190</v>
      </c>
    </row>
    <row r="11" spans="2:11" ht="43.5" x14ac:dyDescent="0.35">
      <c r="E11" s="12" t="s">
        <v>187</v>
      </c>
    </row>
    <row r="12" spans="2:11" x14ac:dyDescent="0.35">
      <c r="F12" s="9" t="s">
        <v>169</v>
      </c>
      <c r="G12" s="9" t="s">
        <v>170</v>
      </c>
    </row>
    <row r="13" spans="2:11" ht="87" x14ac:dyDescent="0.35">
      <c r="E13" s="9" t="s">
        <v>124</v>
      </c>
      <c r="F13">
        <v>0.15</v>
      </c>
      <c r="G13">
        <v>0.2</v>
      </c>
      <c r="H13" s="21" t="s">
        <v>192</v>
      </c>
    </row>
    <row r="14" spans="2:11" x14ac:dyDescent="0.35">
      <c r="E14" s="9"/>
      <c r="F14" s="9" t="s">
        <v>189</v>
      </c>
      <c r="G14" s="9" t="s">
        <v>190</v>
      </c>
      <c r="H14" s="21"/>
    </row>
    <row r="15" spans="2:11" ht="43.5" x14ac:dyDescent="0.35">
      <c r="E15" s="9" t="s">
        <v>171</v>
      </c>
      <c r="F15" s="19">
        <v>0.7</v>
      </c>
      <c r="G15" s="19">
        <v>0.9</v>
      </c>
      <c r="H15" s="21" t="s">
        <v>191</v>
      </c>
    </row>
    <row r="16" spans="2:11" x14ac:dyDescent="0.35">
      <c r="E16" s="9" t="s">
        <v>188</v>
      </c>
      <c r="F16" s="19">
        <v>0.06</v>
      </c>
      <c r="G16" s="19">
        <v>0.52</v>
      </c>
      <c r="H16" s="21"/>
    </row>
    <row r="17" spans="5:19" ht="58" x14ac:dyDescent="0.35">
      <c r="E17" s="9" t="s">
        <v>171</v>
      </c>
      <c r="F17" s="22">
        <f>charger_efficiency_dedicated_charger*percent_using_dedicated_charger/(percent_using_wall_plug+percent_using_dedicated_charger)+charger_efficiency_wall_plug*percent_using_wall_plug/(percent_using_wall_plug+percent_using_dedicated_charger)</f>
        <v>0.87931034482758608</v>
      </c>
      <c r="G17" s="14" t="s">
        <v>186</v>
      </c>
    </row>
    <row r="18" spans="5:19" x14ac:dyDescent="0.35">
      <c r="E18" s="9" t="s">
        <v>172</v>
      </c>
      <c r="F18" s="20" cm="1">
        <f t="array" ref="F18:G18">car_consumption/charger_efficiency</f>
        <v>0.17058823529411768</v>
      </c>
      <c r="G18" s="20">
        <v>0.22745098039215692</v>
      </c>
    </row>
    <row r="20" spans="5:19" ht="15" thickBot="1" x14ac:dyDescent="0.4"/>
    <row r="21" spans="5:19" ht="15.5" thickTop="1" thickBot="1" x14ac:dyDescent="0.4">
      <c r="E21" s="9" t="s">
        <v>125</v>
      </c>
      <c r="F21" s="13">
        <v>365</v>
      </c>
      <c r="G21" s="13">
        <v>365</v>
      </c>
      <c r="H21" s="13">
        <v>366</v>
      </c>
      <c r="I21" s="13">
        <v>365</v>
      </c>
      <c r="J21" s="13">
        <v>365</v>
      </c>
      <c r="K21" s="13">
        <v>365</v>
      </c>
    </row>
    <row r="22" spans="5:19" ht="15" thickTop="1" x14ac:dyDescent="0.35"/>
    <row r="23" spans="5:19" x14ac:dyDescent="0.35">
      <c r="E23" s="9" t="s">
        <v>173</v>
      </c>
      <c r="F23" s="9" cm="1">
        <f t="array" ref="F23:K23">kilometrage_years</f>
        <v>2018</v>
      </c>
      <c r="G23" s="9">
        <v>2019</v>
      </c>
      <c r="H23" s="9">
        <v>2020</v>
      </c>
      <c r="I23" s="9">
        <v>2021</v>
      </c>
      <c r="J23" s="9">
        <v>2022</v>
      </c>
      <c r="K23" s="9" t="str">
        <v>2023*</v>
      </c>
    </row>
    <row r="24" spans="5:19" x14ac:dyDescent="0.35">
      <c r="E24" s="9" t="str" cm="1">
        <f t="array" ref="E24:E30">Vehicle_types</f>
        <v>Totaal</v>
      </c>
      <c r="F24" s="20" cm="1">
        <f t="array" ref="F24:K30">car_Kilometrages*car_charge_from_network_kWh_km_low/days_per_year</f>
        <v>6.1682836422240142</v>
      </c>
      <c r="G24" s="20">
        <v>6.1037872683319918</v>
      </c>
      <c r="H24" s="20">
        <v>4.9684988749598205</v>
      </c>
      <c r="I24" s="20">
        <v>5.1947622884770359</v>
      </c>
      <c r="J24" s="20">
        <v>5.6195970991136193</v>
      </c>
      <c r="K24" s="20">
        <v>5.7733601933924259</v>
      </c>
      <c r="L24" s="57" t="s">
        <v>126</v>
      </c>
      <c r="M24" s="57"/>
      <c r="N24" s="57"/>
      <c r="O24" s="57"/>
      <c r="P24" s="57"/>
      <c r="Q24" s="57"/>
      <c r="R24" s="57"/>
      <c r="S24" s="57"/>
    </row>
    <row r="25" spans="5:19" x14ac:dyDescent="0.35">
      <c r="E25" s="9" t="str">
        <v>Benzine(inclusief benzine hybrides en ethanol)</v>
      </c>
      <c r="F25" s="20">
        <v>5.1031587429492351</v>
      </c>
      <c r="G25" s="20">
        <v>5.1559709911361811</v>
      </c>
      <c r="H25" s="20">
        <v>4.3453391192542599</v>
      </c>
      <c r="I25" s="20">
        <v>4.6114907332796138</v>
      </c>
      <c r="J25" s="20">
        <v>4.994262691377922</v>
      </c>
      <c r="K25" s="20">
        <v>5.1952296535052387</v>
      </c>
      <c r="L25" s="57"/>
      <c r="M25" s="57"/>
      <c r="N25" s="57"/>
      <c r="O25" s="57"/>
      <c r="P25" s="57"/>
      <c r="Q25" s="57"/>
      <c r="R25" s="57"/>
      <c r="S25" s="57"/>
    </row>
    <row r="26" spans="5:19" x14ac:dyDescent="0.35">
      <c r="E26" s="9" t="str">
        <v>Diesel (inclusief diesel hybrides)</v>
      </c>
      <c r="F26" s="20">
        <v>11.051313456889607</v>
      </c>
      <c r="G26" s="20">
        <v>10.813424657534249</v>
      </c>
      <c r="H26" s="20">
        <v>8.3634844101575077</v>
      </c>
      <c r="I26" s="20">
        <v>8.4812731668009693</v>
      </c>
      <c r="J26" s="20">
        <v>9.0005157131345701</v>
      </c>
      <c r="K26" s="20">
        <v>8.6682191780821931</v>
      </c>
      <c r="L26" s="57"/>
      <c r="M26" s="57"/>
      <c r="N26" s="57"/>
      <c r="O26" s="57"/>
      <c r="P26" s="57"/>
      <c r="Q26" s="57"/>
      <c r="R26" s="57"/>
      <c r="S26" s="57"/>
    </row>
    <row r="27" spans="5:19" x14ac:dyDescent="0.35">
      <c r="E27" s="9" t="str">
        <v>Volledig elektrisch (FEV) inclusief waterstof</v>
      </c>
      <c r="F27" s="20">
        <v>6.7263174858984698</v>
      </c>
      <c r="G27" s="20">
        <v>6.3617727639000821</v>
      </c>
      <c r="H27" s="20">
        <v>5.8158469945355202</v>
      </c>
      <c r="I27" s="20">
        <v>7.0254311039484305</v>
      </c>
      <c r="J27" s="20">
        <v>8.3457373086220805</v>
      </c>
      <c r="K27" s="20">
        <v>8.5256728444802601</v>
      </c>
      <c r="L27" s="57"/>
      <c r="M27" s="57"/>
      <c r="N27" s="57"/>
      <c r="O27" s="57"/>
      <c r="P27" s="57"/>
      <c r="Q27" s="57"/>
      <c r="R27" s="57"/>
      <c r="S27" s="57"/>
    </row>
    <row r="28" spans="5:19" x14ac:dyDescent="0.35">
      <c r="E28" s="9" t="str">
        <v>LPG (inclusief LPG hybrides)</v>
      </c>
      <c r="F28" s="20">
        <v>7.2876228847703475</v>
      </c>
      <c r="G28" s="20">
        <v>7.0866559226430308</v>
      </c>
      <c r="H28" s="20">
        <v>5.6974606235937006</v>
      </c>
      <c r="I28" s="20">
        <v>5.9425463336019355</v>
      </c>
      <c r="J28" s="20">
        <v>6.3169057211925876</v>
      </c>
      <c r="K28" s="20">
        <v>6.3645769540693005</v>
      </c>
      <c r="L28" s="57"/>
      <c r="M28" s="57"/>
      <c r="N28" s="57"/>
      <c r="O28" s="57"/>
      <c r="P28" s="57"/>
      <c r="Q28" s="57"/>
      <c r="R28" s="57"/>
      <c r="S28" s="57"/>
    </row>
    <row r="29" spans="5:19" x14ac:dyDescent="0.35">
      <c r="E29" s="9" t="str">
        <v>Plug-in hybride (PHEV)</v>
      </c>
      <c r="F29" s="20">
        <v>11.766381950040293</v>
      </c>
      <c r="G29" s="20">
        <v>10.71294117647059</v>
      </c>
      <c r="H29" s="20">
        <v>7.1884763741562212</v>
      </c>
      <c r="I29" s="20">
        <v>6.8777437550362626</v>
      </c>
      <c r="J29" s="20">
        <v>7.8283642224012908</v>
      </c>
      <c r="K29" s="20">
        <v>7.9199677679290916</v>
      </c>
      <c r="L29" s="57"/>
      <c r="M29" s="57"/>
      <c r="N29" s="57"/>
      <c r="O29" s="57"/>
      <c r="P29" s="57"/>
      <c r="Q29" s="57"/>
      <c r="R29" s="57"/>
      <c r="S29" s="57"/>
    </row>
    <row r="30" spans="5:19" x14ac:dyDescent="0.35">
      <c r="E30" s="9" t="str">
        <v>Aardgas (LNG en CNG inclusief aardgas hybrides en LNG hybrides)</v>
      </c>
      <c r="F30" s="20">
        <v>11.950991136180503</v>
      </c>
      <c r="G30" s="20">
        <v>11.729460112812252</v>
      </c>
      <c r="H30" s="20">
        <v>8.4096271295403415</v>
      </c>
      <c r="I30" s="20">
        <v>9.1692344883158761</v>
      </c>
      <c r="J30" s="20">
        <v>9.7249315068493178</v>
      </c>
      <c r="K30" s="20">
        <v>9.4360999194198243</v>
      </c>
      <c r="L30" s="57"/>
      <c r="M30" s="57"/>
      <c r="N30" s="57"/>
      <c r="O30" s="57"/>
      <c r="P30" s="57"/>
      <c r="Q30" s="57"/>
      <c r="R30" s="57"/>
      <c r="S30" s="57"/>
    </row>
    <row r="31" spans="5:19" x14ac:dyDescent="0.35">
      <c r="F31" s="8" t="e" cm="1">
        <f t="array" ref="F31">car</f>
        <v>#NAME?</v>
      </c>
    </row>
    <row r="33" spans="5:19" x14ac:dyDescent="0.35">
      <c r="E33" s="9" t="s">
        <v>174</v>
      </c>
      <c r="F33" s="9" cm="1">
        <f t="array" ref="F33:K33">kilometrage_years</f>
        <v>2018</v>
      </c>
      <c r="G33" s="9">
        <v>2019</v>
      </c>
      <c r="H33" s="9">
        <v>2020</v>
      </c>
      <c r="I33" s="9">
        <v>2021</v>
      </c>
      <c r="J33" s="9">
        <v>2022</v>
      </c>
      <c r="K33" s="9" t="str">
        <v>2023*</v>
      </c>
    </row>
    <row r="34" spans="5:19" x14ac:dyDescent="0.35">
      <c r="E34" s="9" t="str" cm="1">
        <f t="array" ref="E34:E40">Vehicle_types</f>
        <v>Totaal</v>
      </c>
      <c r="F34" s="20" cm="1">
        <f t="array" ref="F34:K40">car_Kilometrages*car_charge_from_network_kWh_km_high/days_per_year</f>
        <v>8.2243781896320183</v>
      </c>
      <c r="G34" s="20">
        <v>8.1383830244426569</v>
      </c>
      <c r="H34" s="20">
        <v>6.6246651666130942</v>
      </c>
      <c r="I34" s="20">
        <v>6.9263497179693818</v>
      </c>
      <c r="J34" s="20">
        <v>7.4927961321514926</v>
      </c>
      <c r="K34" s="20">
        <v>7.6978135911899024</v>
      </c>
      <c r="L34" s="57" t="s">
        <v>126</v>
      </c>
      <c r="M34" s="57"/>
      <c r="N34" s="57"/>
      <c r="O34" s="57"/>
      <c r="P34" s="57"/>
      <c r="Q34" s="57"/>
      <c r="R34" s="57"/>
      <c r="S34" s="57"/>
    </row>
    <row r="35" spans="5:19" x14ac:dyDescent="0.35">
      <c r="E35" s="9" t="str">
        <v>Benzine(inclusief benzine hybrides en ethanol)</v>
      </c>
      <c r="F35" s="20">
        <v>6.8042116572656468</v>
      </c>
      <c r="G35" s="20">
        <v>6.8746279881815759</v>
      </c>
      <c r="H35" s="20">
        <v>5.7937854923390129</v>
      </c>
      <c r="I35" s="20">
        <v>6.1486543110394862</v>
      </c>
      <c r="J35" s="20">
        <v>6.659016921837229</v>
      </c>
      <c r="K35" s="20">
        <v>6.9269728713403182</v>
      </c>
      <c r="L35" s="57"/>
      <c r="M35" s="57"/>
      <c r="N35" s="57"/>
      <c r="O35" s="57"/>
      <c r="P35" s="57"/>
      <c r="Q35" s="57"/>
      <c r="R35" s="57"/>
      <c r="S35" s="57"/>
    </row>
    <row r="36" spans="5:19" x14ac:dyDescent="0.35">
      <c r="E36" s="9" t="str">
        <v>Diesel (inclusief diesel hybrides)</v>
      </c>
      <c r="F36" s="20">
        <v>14.735084609186144</v>
      </c>
      <c r="G36" s="20">
        <v>14.417899543378999</v>
      </c>
      <c r="H36" s="20">
        <v>11.151312546876676</v>
      </c>
      <c r="I36" s="20">
        <v>11.308364222401293</v>
      </c>
      <c r="J36" s="20">
        <v>12.00068761751276</v>
      </c>
      <c r="K36" s="20">
        <v>11.55762557077626</v>
      </c>
      <c r="L36" s="57"/>
      <c r="M36" s="57"/>
      <c r="N36" s="57"/>
      <c r="O36" s="57"/>
      <c r="P36" s="57"/>
      <c r="Q36" s="57"/>
      <c r="R36" s="57"/>
      <c r="S36" s="57"/>
    </row>
    <row r="37" spans="5:19" x14ac:dyDescent="0.35">
      <c r="E37" s="9" t="str">
        <v>Volledig elektrisch (FEV) inclusief waterstof</v>
      </c>
      <c r="F37" s="20">
        <v>8.9684233145312948</v>
      </c>
      <c r="G37" s="20">
        <v>8.4823636852001094</v>
      </c>
      <c r="H37" s="20">
        <v>7.7544626593806942</v>
      </c>
      <c r="I37" s="20">
        <v>9.3672414719312407</v>
      </c>
      <c r="J37" s="20">
        <v>11.127649744829441</v>
      </c>
      <c r="K37" s="20">
        <v>11.367563792640347</v>
      </c>
      <c r="L37" s="57"/>
      <c r="M37" s="57"/>
      <c r="N37" s="57"/>
      <c r="O37" s="57"/>
      <c r="P37" s="57"/>
      <c r="Q37" s="57"/>
      <c r="R37" s="57"/>
      <c r="S37" s="57"/>
    </row>
    <row r="38" spans="5:19" x14ac:dyDescent="0.35">
      <c r="E38" s="9" t="str">
        <v>LPG (inclusief LPG hybrides)</v>
      </c>
      <c r="F38" s="20">
        <v>9.71683051302713</v>
      </c>
      <c r="G38" s="20">
        <v>9.4488745635240416</v>
      </c>
      <c r="H38" s="20">
        <v>7.5966141647916015</v>
      </c>
      <c r="I38" s="20">
        <v>7.9233951114692474</v>
      </c>
      <c r="J38" s="20">
        <v>8.4225409615901174</v>
      </c>
      <c r="K38" s="20">
        <v>8.4861026054257334</v>
      </c>
      <c r="L38" s="57"/>
      <c r="M38" s="57"/>
      <c r="N38" s="57"/>
      <c r="O38" s="57"/>
      <c r="P38" s="57"/>
      <c r="Q38" s="57"/>
      <c r="R38" s="57"/>
      <c r="S38" s="57"/>
    </row>
    <row r="39" spans="5:19" x14ac:dyDescent="0.35">
      <c r="E39" s="9" t="str">
        <v>Plug-in hybride (PHEV)</v>
      </c>
      <c r="F39" s="20">
        <v>15.688509266720391</v>
      </c>
      <c r="G39" s="20">
        <v>14.283921568627454</v>
      </c>
      <c r="H39" s="20">
        <v>9.5846351655416289</v>
      </c>
      <c r="I39" s="20">
        <v>9.1703250067150162</v>
      </c>
      <c r="J39" s="20">
        <v>10.437818963201723</v>
      </c>
      <c r="K39" s="20">
        <v>10.559957023905456</v>
      </c>
      <c r="L39" s="57"/>
      <c r="M39" s="57"/>
      <c r="N39" s="57"/>
      <c r="O39" s="57"/>
      <c r="P39" s="57"/>
      <c r="Q39" s="57"/>
      <c r="R39" s="57"/>
      <c r="S39" s="57"/>
    </row>
    <row r="40" spans="5:19" x14ac:dyDescent="0.35">
      <c r="E40" s="9" t="str">
        <v>Aardgas (LNG en CNG inclusief aardgas hybrides en LNG hybrides)</v>
      </c>
      <c r="F40" s="20">
        <v>15.934654848240671</v>
      </c>
      <c r="G40" s="20">
        <v>15.639280150416335</v>
      </c>
      <c r="H40" s="20">
        <v>11.212836172720458</v>
      </c>
      <c r="I40" s="20">
        <v>12.225645984421167</v>
      </c>
      <c r="J40" s="20">
        <v>12.966575342465756</v>
      </c>
      <c r="K40" s="20">
        <v>12.581466559226433</v>
      </c>
      <c r="L40" s="57"/>
      <c r="M40" s="57"/>
      <c r="N40" s="57"/>
      <c r="O40" s="57"/>
      <c r="P40" s="57"/>
      <c r="Q40" s="57"/>
      <c r="R40" s="57"/>
      <c r="S40" s="57"/>
    </row>
    <row r="42" spans="5:19" x14ac:dyDescent="0.35">
      <c r="F42" s="9" cm="1">
        <f t="array" ref="F42:K42">kilometrage_years</f>
        <v>2018</v>
      </c>
      <c r="G42" s="9">
        <v>2019</v>
      </c>
      <c r="H42" s="9">
        <v>2020</v>
      </c>
      <c r="I42" s="9">
        <v>2021</v>
      </c>
      <c r="J42" s="9">
        <v>2022</v>
      </c>
      <c r="K42" s="43" t="str">
        <v>2023*</v>
      </c>
    </row>
    <row r="43" spans="5:19" x14ac:dyDescent="0.35">
      <c r="E43" s="9" t="s">
        <v>176</v>
      </c>
      <c r="F43" s="46" cm="1">
        <f t="array" ref="F43:K43">kWh_per_day_car_per_type_gasoline_low</f>
        <v>5.1031587429492351</v>
      </c>
      <c r="G43" s="46">
        <v>5.1559709911361811</v>
      </c>
      <c r="H43" s="46">
        <v>4.3453391192542599</v>
      </c>
      <c r="I43" s="46">
        <v>4.6114907332796138</v>
      </c>
      <c r="J43" s="46">
        <v>4.994262691377922</v>
      </c>
      <c r="K43" s="15">
        <v>5.1952296535052387</v>
      </c>
      <c r="L43" s="47">
        <f>K5/365</f>
        <v>30.454794520547946</v>
      </c>
      <c r="M43" s="47">
        <f>L43*car_charge_from_network_kWh_km_low</f>
        <v>5.1952296535052387</v>
      </c>
    </row>
    <row r="44" spans="5:19" x14ac:dyDescent="0.35">
      <c r="E44" s="9" t="s">
        <v>178</v>
      </c>
      <c r="F44" s="46" cm="1">
        <f t="array" ref="F44:K44">kWh_per_day_car_per_type_gasoline_high</f>
        <v>6.8042116572656468</v>
      </c>
      <c r="G44" s="46">
        <v>6.8746279881815759</v>
      </c>
      <c r="H44" s="46">
        <v>5.7937854923390129</v>
      </c>
      <c r="I44" s="46">
        <v>6.1486543110394862</v>
      </c>
      <c r="J44" s="46">
        <v>6.659016921837229</v>
      </c>
      <c r="K44" s="15">
        <v>6.9269728713403182</v>
      </c>
      <c r="L44" s="47">
        <f>K5/365</f>
        <v>30.454794520547946</v>
      </c>
      <c r="M44" s="47">
        <f>L44*car_charge_from_network_kWh_km_high</f>
        <v>6.9269728713403182</v>
      </c>
    </row>
    <row r="45" spans="5:19" x14ac:dyDescent="0.35">
      <c r="E45" s="9" t="s">
        <v>177</v>
      </c>
      <c r="F45" s="46" cm="1">
        <f t="array" ref="F45:K45">kWh_per_day_car_per_type_FEV_low</f>
        <v>6.7263174858984698</v>
      </c>
      <c r="G45" s="46">
        <v>6.3617727639000821</v>
      </c>
      <c r="H45" s="46">
        <v>5.8158469945355202</v>
      </c>
      <c r="I45" s="46">
        <v>7.0254311039484305</v>
      </c>
      <c r="J45" s="46">
        <v>8.3457373086220805</v>
      </c>
      <c r="K45" s="15">
        <v>8.5256728444802601</v>
      </c>
      <c r="L45" s="47">
        <f>K7/365</f>
        <v>49.978082191780821</v>
      </c>
      <c r="M45" s="47">
        <f>L45*car_charge_from_network_kWh_km_low</f>
        <v>8.5256728444802601</v>
      </c>
    </row>
    <row r="46" spans="5:19" x14ac:dyDescent="0.35">
      <c r="E46" s="9" t="s">
        <v>179</v>
      </c>
      <c r="F46" s="46" cm="1">
        <f t="array" ref="F46:K46">kWh_per_day_car_per_type_FEV_high</f>
        <v>8.9684233145312948</v>
      </c>
      <c r="G46" s="46">
        <v>8.4823636852001094</v>
      </c>
      <c r="H46" s="46">
        <v>7.7544626593806942</v>
      </c>
      <c r="I46" s="46">
        <v>9.3672414719312407</v>
      </c>
      <c r="J46" s="46">
        <v>11.127649744829441</v>
      </c>
      <c r="K46" s="15">
        <v>11.367563792640347</v>
      </c>
      <c r="L46" s="47">
        <f>K7/365</f>
        <v>49.978082191780821</v>
      </c>
      <c r="M46" s="47">
        <f>L46*car_charge_from_network_kWh_km_high</f>
        <v>11.367563792640347</v>
      </c>
    </row>
    <row r="47" spans="5:19" x14ac:dyDescent="0.35">
      <c r="E47" s="9" t="s">
        <v>175</v>
      </c>
      <c r="F47" s="46" cm="1">
        <f t="array" ref="F47:K47">kWh_per_day_car_per_type_average_low</f>
        <v>6.1682836422240142</v>
      </c>
      <c r="G47" s="46">
        <v>6.1037872683319918</v>
      </c>
      <c r="H47" s="46">
        <v>4.9684988749598205</v>
      </c>
      <c r="I47" s="46">
        <v>5.1947622884770359</v>
      </c>
      <c r="J47" s="46">
        <v>5.6195970991136193</v>
      </c>
      <c r="K47" s="46">
        <v>5.7733601933924259</v>
      </c>
    </row>
    <row r="48" spans="5:19" x14ac:dyDescent="0.35">
      <c r="E48" s="9" t="s">
        <v>180</v>
      </c>
      <c r="F48" s="46" cm="1">
        <f t="array" ref="F48:K48">kWh_per_day_car_per_type_average_high</f>
        <v>8.2243781896320183</v>
      </c>
      <c r="G48" s="46">
        <v>8.1383830244426569</v>
      </c>
      <c r="H48" s="46">
        <v>6.6246651666130942</v>
      </c>
      <c r="I48" s="46">
        <v>6.9263497179693818</v>
      </c>
      <c r="J48" s="46">
        <v>7.4927961321514926</v>
      </c>
      <c r="K48" s="46">
        <v>7.6978135911899024</v>
      </c>
    </row>
    <row r="49" spans="5:13" ht="58" x14ac:dyDescent="0.35">
      <c r="E49" s="14" t="s">
        <v>127</v>
      </c>
    </row>
    <row r="60" spans="5:13" x14ac:dyDescent="0.35">
      <c r="F60" s="58" t="s">
        <v>272</v>
      </c>
      <c r="G60" s="58"/>
      <c r="H60" s="58"/>
    </row>
    <row r="61" spans="5:13" ht="29" x14ac:dyDescent="0.35">
      <c r="E61" s="9" t="s">
        <v>128</v>
      </c>
      <c r="F61" s="9" t="s">
        <v>129</v>
      </c>
      <c r="G61" s="9" t="s">
        <v>130</v>
      </c>
      <c r="H61" s="9" t="s">
        <v>131</v>
      </c>
    </row>
    <row r="62" spans="5:13" x14ac:dyDescent="0.35">
      <c r="E62" s="9" t="s">
        <v>117</v>
      </c>
      <c r="F62">
        <v>2.92</v>
      </c>
      <c r="G62">
        <v>3.16</v>
      </c>
      <c r="H62">
        <v>2.68</v>
      </c>
    </row>
    <row r="63" spans="5:13" x14ac:dyDescent="0.35">
      <c r="E63" s="9" t="s">
        <v>132</v>
      </c>
      <c r="F63">
        <v>2.34</v>
      </c>
      <c r="G63">
        <v>2.58</v>
      </c>
      <c r="H63">
        <v>2.09</v>
      </c>
    </row>
    <row r="64" spans="5:13" x14ac:dyDescent="0.35">
      <c r="E64" s="9" t="s">
        <v>133</v>
      </c>
      <c r="F64">
        <v>6.21</v>
      </c>
      <c r="G64">
        <v>6.7</v>
      </c>
      <c r="H64">
        <v>5.7</v>
      </c>
      <c r="L64" s="8">
        <f>44/23</f>
        <v>1.9130434782608696</v>
      </c>
      <c r="M64" s="8" t="s">
        <v>134</v>
      </c>
    </row>
    <row r="65" spans="5:15" x14ac:dyDescent="0.35">
      <c r="E65" s="9" t="s">
        <v>135</v>
      </c>
      <c r="F65">
        <v>2.62</v>
      </c>
      <c r="G65">
        <v>2.95</v>
      </c>
      <c r="H65">
        <v>2.29</v>
      </c>
      <c r="L65" s="8">
        <f>1000*L64/28.8</f>
        <v>66.425120772946869</v>
      </c>
    </row>
    <row r="66" spans="5:15" x14ac:dyDescent="0.35">
      <c r="E66" s="9" t="s">
        <v>136</v>
      </c>
      <c r="F66">
        <v>2.42</v>
      </c>
      <c r="G66">
        <v>2.52</v>
      </c>
      <c r="H66">
        <v>2.31</v>
      </c>
      <c r="L66" s="8">
        <f>12*44/167</f>
        <v>3.1616766467065869</v>
      </c>
    </row>
    <row r="67" spans="5:15" x14ac:dyDescent="0.35">
      <c r="E67" s="9" t="s">
        <v>137</v>
      </c>
      <c r="F67">
        <v>2.58</v>
      </c>
      <c r="G67">
        <v>2.6</v>
      </c>
      <c r="H67">
        <v>2.56</v>
      </c>
      <c r="L67" s="8">
        <f>12*12+23</f>
        <v>167</v>
      </c>
    </row>
    <row r="68" spans="5:15" x14ac:dyDescent="0.35">
      <c r="E68" s="9" t="s">
        <v>138</v>
      </c>
      <c r="F68">
        <v>2.81</v>
      </c>
      <c r="G68">
        <v>3.01</v>
      </c>
      <c r="H68">
        <v>2.61</v>
      </c>
      <c r="O68" s="8">
        <f>8/75</f>
        <v>0.10666666666666667</v>
      </c>
    </row>
    <row r="69" spans="5:15" x14ac:dyDescent="0.35">
      <c r="E69" s="9" t="s">
        <v>139</v>
      </c>
      <c r="F69">
        <v>3.42</v>
      </c>
      <c r="G69">
        <v>3.75</v>
      </c>
      <c r="H69">
        <v>3.1</v>
      </c>
    </row>
    <row r="70" spans="5:15" x14ac:dyDescent="0.35">
      <c r="E70" s="9" t="s">
        <v>140</v>
      </c>
      <c r="F70">
        <v>2.2400000000000002</v>
      </c>
      <c r="G70">
        <v>2.82</v>
      </c>
      <c r="H70">
        <v>1.77</v>
      </c>
    </row>
    <row r="71" spans="5:15" ht="58" x14ac:dyDescent="0.35">
      <c r="E71" s="12" t="s">
        <v>141</v>
      </c>
      <c r="N71" s="8">
        <f>1.49/0.637</f>
        <v>2.3390894819466248</v>
      </c>
    </row>
    <row r="73" spans="5:15" x14ac:dyDescent="0.35">
      <c r="G73" s="14" t="s">
        <v>142</v>
      </c>
      <c r="H73" s="14" t="s">
        <v>143</v>
      </c>
    </row>
    <row r="74" spans="5:15" ht="15" thickBot="1" x14ac:dyDescent="0.4">
      <c r="F74" s="9" t="s">
        <v>144</v>
      </c>
      <c r="G74" s="9" t="s">
        <v>145</v>
      </c>
      <c r="H74" s="9" t="s">
        <v>146</v>
      </c>
    </row>
    <row r="75" spans="5:15" ht="15.5" thickTop="1" thickBot="1" x14ac:dyDescent="0.4">
      <c r="E75" s="9" t="s">
        <v>147</v>
      </c>
      <c r="F75" s="13">
        <f>F62</f>
        <v>2.92</v>
      </c>
      <c r="G75" s="13">
        <f>F64</f>
        <v>6.21</v>
      </c>
      <c r="H75" s="13">
        <f>F69</f>
        <v>3.42</v>
      </c>
    </row>
    <row r="76" spans="5:15" ht="15.5" thickTop="1" thickBot="1" x14ac:dyDescent="0.4"/>
    <row r="77" spans="5:15" ht="88" thickTop="1" thickBot="1" x14ac:dyDescent="0.4">
      <c r="E77" s="9" t="s">
        <v>148</v>
      </c>
      <c r="F77" s="13">
        <f>0.006*1.25</f>
        <v>7.4999999999999997E-3</v>
      </c>
      <c r="G77" s="12" t="s">
        <v>149</v>
      </c>
    </row>
    <row r="78" spans="5:15" ht="15" thickTop="1" x14ac:dyDescent="0.35"/>
    <row r="79" spans="5:15" x14ac:dyDescent="0.35">
      <c r="F79" s="9" t="s">
        <v>144</v>
      </c>
      <c r="G79" s="9" t="s">
        <v>145</v>
      </c>
      <c r="H79" s="9" t="s">
        <v>146</v>
      </c>
    </row>
    <row r="80" spans="5:15" x14ac:dyDescent="0.35">
      <c r="E80" s="9" t="s">
        <v>150</v>
      </c>
      <c r="F80" s="45" cm="1">
        <f t="array" ref="F80:H80">e_bike_consumption*selected_e_bike_kilometrages</f>
        <v>2.1899999999999999E-2</v>
      </c>
      <c r="G80" s="45">
        <v>4.6574999999999998E-2</v>
      </c>
      <c r="H80" s="20">
        <v>2.5649999999999999E-2</v>
      </c>
    </row>
    <row r="81" spans="6:8" x14ac:dyDescent="0.35">
      <c r="F81" s="57" t="s">
        <v>151</v>
      </c>
      <c r="G81" s="57"/>
      <c r="H81" s="57"/>
    </row>
    <row r="82" spans="6:8" x14ac:dyDescent="0.35">
      <c r="F82" s="57"/>
      <c r="G82" s="57"/>
      <c r="H82" s="57"/>
    </row>
    <row r="83" spans="6:8" x14ac:dyDescent="0.35">
      <c r="F83" s="57"/>
      <c r="G83" s="57"/>
      <c r="H83" s="57"/>
    </row>
  </sheetData>
  <mergeCells count="5">
    <mergeCell ref="E2:K2"/>
    <mergeCell ref="L24:S30"/>
    <mergeCell ref="F81:H83"/>
    <mergeCell ref="L34:S40"/>
    <mergeCell ref="F60:H60"/>
  </mergeCells>
  <hyperlinks>
    <hyperlink ref="H13" r:id="rId1" display="https://ev-database.org/cheatsheet/energy-consumption-electric-car" xr:uid="{E76CF9E4-2348-456E-B9AE-1FDA9631670C}"/>
    <hyperlink ref="H15" r:id="rId2" xr:uid="{979EEA6A-DE28-4784-807A-548F2B0AD48B}"/>
  </hyperlinks>
  <pageMargins left="0.7" right="0.7" top="0.75" bottom="0.75" header="0.3" footer="0.3"/>
  <pageSetup paperSize="9" orientation="portrait" verticalDpi="0"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C3897-1DE7-4752-9219-9B33A5A4218A}">
  <dimension ref="D8:K85"/>
  <sheetViews>
    <sheetView topLeftCell="E40" zoomScale="70" zoomScaleNormal="70" workbookViewId="0">
      <selection activeCell="D83" sqref="D83"/>
    </sheetView>
  </sheetViews>
  <sheetFormatPr defaultColWidth="9.1796875" defaultRowHeight="14.5" x14ac:dyDescent="0.35"/>
  <cols>
    <col min="1" max="3" width="9.1796875" style="8"/>
    <col min="4" max="4" width="97.54296875" style="8" bestFit="1" customWidth="1"/>
    <col min="5" max="5" width="38.81640625" style="8" bestFit="1" customWidth="1"/>
    <col min="6" max="6" width="44" style="8" bestFit="1" customWidth="1"/>
    <col min="7" max="7" width="46.81640625" style="8" bestFit="1" customWidth="1"/>
    <col min="8" max="8" width="39.54296875" style="8" bestFit="1" customWidth="1"/>
    <col min="9" max="9" width="44.81640625" style="8" bestFit="1" customWidth="1"/>
    <col min="10" max="10" width="47.453125" style="8" bestFit="1" customWidth="1"/>
    <col min="11" max="11" width="6.81640625" style="8" bestFit="1" customWidth="1"/>
    <col min="12" max="16384" width="9.1796875" style="8"/>
  </cols>
  <sheetData>
    <row r="8" spans="4:11" x14ac:dyDescent="0.35">
      <c r="D8" s="9" t="s">
        <v>152</v>
      </c>
      <c r="E8" s="9">
        <v>2018</v>
      </c>
      <c r="F8" s="9">
        <v>2019</v>
      </c>
      <c r="G8" s="9">
        <v>2020</v>
      </c>
      <c r="H8" s="9">
        <v>2021</v>
      </c>
      <c r="I8" s="9">
        <v>2022</v>
      </c>
      <c r="J8" s="9">
        <v>2023</v>
      </c>
      <c r="K8" s="9">
        <v>2024</v>
      </c>
    </row>
    <row r="9" spans="4:11" x14ac:dyDescent="0.35">
      <c r="D9" s="9" t="s">
        <v>153</v>
      </c>
      <c r="E9" s="16">
        <v>0.170829975825946</v>
      </c>
      <c r="F9" s="16">
        <v>0.15793714746172399</v>
      </c>
      <c r="G9" s="16">
        <v>0.19607843137254899</v>
      </c>
      <c r="H9" s="16">
        <v>0.132151490733279</v>
      </c>
      <c r="I9" s="16">
        <v>0.22240128928283601</v>
      </c>
      <c r="J9" s="16">
        <v>0.11603545527800101</v>
      </c>
      <c r="K9" s="42">
        <v>0.14786242365798699</v>
      </c>
    </row>
    <row r="10" spans="4:11" x14ac:dyDescent="0.35">
      <c r="D10" s="9" t="s">
        <v>154</v>
      </c>
      <c r="E10" s="16">
        <v>4.2707493956486701E-2</v>
      </c>
      <c r="F10" s="16">
        <v>2.7397260273972601E-2</v>
      </c>
      <c r="G10" s="16">
        <v>1.56300225008036</v>
      </c>
      <c r="H10" s="16">
        <v>1.2949234488315799</v>
      </c>
      <c r="I10" s="16">
        <v>1.0362610797743701</v>
      </c>
      <c r="J10" s="16">
        <v>1.42062852538275</v>
      </c>
      <c r="K10" s="16">
        <v>1.7068466730954599</v>
      </c>
    </row>
    <row r="11" spans="4:11" x14ac:dyDescent="0.35">
      <c r="D11" s="9" t="s">
        <v>155</v>
      </c>
      <c r="E11" s="16">
        <v>0.73005640612409295</v>
      </c>
      <c r="F11" s="16">
        <v>0.71152296535052295</v>
      </c>
      <c r="G11" s="16">
        <v>1.8989071038251299</v>
      </c>
      <c r="H11" s="16">
        <v>1.2643029814665501</v>
      </c>
      <c r="I11" s="16">
        <v>1.02578565672844</v>
      </c>
      <c r="J11" s="16">
        <v>1.28928283642224</v>
      </c>
      <c r="K11" s="16">
        <v>1.34603021536483</v>
      </c>
    </row>
    <row r="30" spans="4:11" x14ac:dyDescent="0.35">
      <c r="D30" s="9" t="s">
        <v>156</v>
      </c>
      <c r="E30" s="9">
        <v>2018</v>
      </c>
      <c r="F30" s="9">
        <v>2019</v>
      </c>
      <c r="G30" s="9">
        <v>2020</v>
      </c>
      <c r="H30" s="9">
        <v>2021</v>
      </c>
      <c r="I30" s="9">
        <v>2022</v>
      </c>
      <c r="J30" s="9">
        <v>2023</v>
      </c>
      <c r="K30" s="9">
        <v>2024</v>
      </c>
    </row>
    <row r="31" spans="4:11" x14ac:dyDescent="0.35">
      <c r="D31" s="9" t="s">
        <v>153</v>
      </c>
      <c r="E31" s="16">
        <v>0.36099919419822701</v>
      </c>
      <c r="F31" s="16">
        <v>0.39323126510878298</v>
      </c>
      <c r="G31" s="16">
        <v>0.54323368691738905</v>
      </c>
      <c r="H31" s="16">
        <v>0.57050765511684098</v>
      </c>
      <c r="I31" s="16">
        <v>0.50604351329572905</v>
      </c>
      <c r="J31" s="16">
        <v>0.32232070910555999</v>
      </c>
      <c r="K31" s="16">
        <v>0.30215364834458303</v>
      </c>
    </row>
    <row r="32" spans="4:11" x14ac:dyDescent="0.35">
      <c r="D32" s="9" t="s">
        <v>154</v>
      </c>
      <c r="E32" s="16">
        <v>0.20306204673650199</v>
      </c>
      <c r="F32" s="16">
        <v>0.17888799355358501</v>
      </c>
      <c r="G32" s="16">
        <v>2.8471552555448398</v>
      </c>
      <c r="H32" s="16">
        <v>2.5326349717969299</v>
      </c>
      <c r="I32" s="16">
        <v>2.13134568896051</v>
      </c>
      <c r="J32" s="16">
        <v>2.5938759065269901</v>
      </c>
      <c r="K32" s="16">
        <v>3.1043072966891598</v>
      </c>
    </row>
    <row r="33" spans="4:11" x14ac:dyDescent="0.35">
      <c r="D33" s="9" t="s">
        <v>155</v>
      </c>
      <c r="E33" s="16">
        <v>1.09991941982272</v>
      </c>
      <c r="F33" s="16">
        <v>0.85656728444802499</v>
      </c>
      <c r="G33" s="16">
        <v>3.2706525233043999</v>
      </c>
      <c r="H33" s="16">
        <v>2.5858178887993502</v>
      </c>
      <c r="I33" s="16">
        <v>2.1402095084609098</v>
      </c>
      <c r="J33" s="16">
        <v>2.34649476228847</v>
      </c>
      <c r="K33" s="16">
        <v>2.4831243972999002</v>
      </c>
    </row>
    <row r="40" spans="4:11" x14ac:dyDescent="0.35">
      <c r="D40" s="9" t="s">
        <v>157</v>
      </c>
      <c r="E40" s="9">
        <v>2018</v>
      </c>
      <c r="F40" s="9">
        <v>2019</v>
      </c>
      <c r="G40" s="9">
        <v>2020</v>
      </c>
      <c r="H40" s="9">
        <v>2021</v>
      </c>
      <c r="I40" s="9">
        <v>2022</v>
      </c>
      <c r="J40" s="9">
        <v>2023</v>
      </c>
      <c r="K40" s="9">
        <v>2024</v>
      </c>
    </row>
    <row r="41" spans="4:11" x14ac:dyDescent="0.35">
      <c r="D41" s="9" t="s">
        <v>153</v>
      </c>
      <c r="E41" s="16">
        <v>0.341659951651893</v>
      </c>
      <c r="F41" s="16">
        <v>0.31587429492344798</v>
      </c>
      <c r="G41" s="16">
        <v>0.39215686274509798</v>
      </c>
      <c r="H41" s="16">
        <v>0.26430298146655901</v>
      </c>
      <c r="I41" s="16">
        <v>0.44480257856567201</v>
      </c>
      <c r="J41" s="16">
        <v>0.23207091055600301</v>
      </c>
      <c r="K41" s="16">
        <v>0.29572484731597498</v>
      </c>
    </row>
    <row r="42" spans="4:11" x14ac:dyDescent="0.35">
      <c r="D42" s="9" t="s">
        <v>154</v>
      </c>
      <c r="E42" s="16">
        <v>8.5414987912973403E-2</v>
      </c>
      <c r="F42" s="16">
        <v>5.4794520547945202E-2</v>
      </c>
      <c r="G42" s="16">
        <v>3.12600450016072</v>
      </c>
      <c r="H42" s="16">
        <v>2.5898468976631701</v>
      </c>
      <c r="I42" s="16">
        <v>2.07252215954875</v>
      </c>
      <c r="J42" s="16">
        <v>2.8412570507655102</v>
      </c>
      <c r="K42" s="16">
        <v>3.41369334619093</v>
      </c>
    </row>
    <row r="43" spans="4:11" x14ac:dyDescent="0.35">
      <c r="D43" s="9" t="s">
        <v>155</v>
      </c>
      <c r="E43" s="16">
        <v>1.4601128122481799</v>
      </c>
      <c r="F43" s="16">
        <v>1.4230459307010399</v>
      </c>
      <c r="G43" s="16">
        <v>3.7978142076502701</v>
      </c>
      <c r="H43" s="16">
        <v>2.5286059629331099</v>
      </c>
      <c r="I43" s="16">
        <v>2.0515713134568898</v>
      </c>
      <c r="J43" s="16">
        <v>2.5785656728444799</v>
      </c>
      <c r="K43" s="16">
        <v>2.6920604307296601</v>
      </c>
    </row>
    <row r="54" spans="4:11" x14ac:dyDescent="0.35">
      <c r="D54" s="9" t="s">
        <v>158</v>
      </c>
      <c r="E54" s="9">
        <v>2018</v>
      </c>
      <c r="F54" s="9">
        <v>2019</v>
      </c>
      <c r="G54" s="9">
        <v>2020</v>
      </c>
      <c r="H54" s="9">
        <v>2021</v>
      </c>
      <c r="I54" s="9">
        <v>2022</v>
      </c>
      <c r="J54" s="9">
        <v>2023</v>
      </c>
      <c r="K54" s="9">
        <v>2024</v>
      </c>
    </row>
    <row r="55" spans="4:11" x14ac:dyDescent="0.35">
      <c r="D55" s="9" t="s">
        <v>153</v>
      </c>
      <c r="E55" s="16">
        <v>8.5414987912973403E-2</v>
      </c>
      <c r="F55" s="16">
        <v>7.8968573730862204E-2</v>
      </c>
      <c r="G55" s="16">
        <v>9.8039215686274495E-2</v>
      </c>
      <c r="H55" s="16">
        <v>6.6075745366639793E-2</v>
      </c>
      <c r="I55" s="16">
        <v>0.111200644641418</v>
      </c>
      <c r="J55" s="16">
        <v>5.8017727639000802E-2</v>
      </c>
      <c r="K55" s="42">
        <v>7.3931211828993898E-2</v>
      </c>
    </row>
    <row r="56" spans="4:11" x14ac:dyDescent="0.35">
      <c r="D56" s="9" t="s">
        <v>154</v>
      </c>
      <c r="E56" s="16">
        <v>2.1353746978243299E-2</v>
      </c>
      <c r="F56" s="16">
        <v>1.3698630136986301E-2</v>
      </c>
      <c r="G56" s="16">
        <v>0.78150112504017999</v>
      </c>
      <c r="H56" s="16">
        <v>0.64746172441579297</v>
      </c>
      <c r="I56" s="16">
        <v>0.51813053988718705</v>
      </c>
      <c r="J56" s="16">
        <v>0.71031426269137699</v>
      </c>
      <c r="K56" s="16">
        <v>0.85342333654773395</v>
      </c>
    </row>
    <row r="57" spans="4:11" x14ac:dyDescent="0.35">
      <c r="D57" s="9" t="s">
        <v>155</v>
      </c>
      <c r="E57" s="16">
        <v>0.36502820306204598</v>
      </c>
      <c r="F57" s="16">
        <v>0.35576148267526098</v>
      </c>
      <c r="G57" s="16">
        <v>0.94945355191256797</v>
      </c>
      <c r="H57" s="16">
        <v>0.63215149073327903</v>
      </c>
      <c r="I57" s="16"/>
      <c r="J57" s="16">
        <v>0.64464141821111998</v>
      </c>
      <c r="K57" s="16">
        <v>0.67301510768241701</v>
      </c>
    </row>
    <row r="81" spans="4:10" x14ac:dyDescent="0.35">
      <c r="D81" s="9" t="s">
        <v>249</v>
      </c>
      <c r="E81" s="9" t="s">
        <v>159</v>
      </c>
      <c r="F81" s="9" t="s">
        <v>160</v>
      </c>
      <c r="G81" s="9" t="s">
        <v>161</v>
      </c>
      <c r="H81" s="9" t="s">
        <v>162</v>
      </c>
      <c r="I81" s="9" t="s">
        <v>163</v>
      </c>
      <c r="J81" s="9" t="s">
        <v>164</v>
      </c>
    </row>
    <row r="82" spans="4:10" x14ac:dyDescent="0.35">
      <c r="D82" s="9">
        <v>5</v>
      </c>
      <c r="E82" s="18">
        <v>4862.1323529411702</v>
      </c>
      <c r="F82" s="18">
        <v>896.47058823529403</v>
      </c>
      <c r="G82" s="44">
        <v>2.4493731918997099</v>
      </c>
      <c r="H82" s="18">
        <v>-4737.5499999999902</v>
      </c>
      <c r="I82" s="18">
        <v>-1136.9015625</v>
      </c>
      <c r="J82" s="18">
        <v>-3.10628842213114</v>
      </c>
    </row>
    <row r="83" spans="4:10" x14ac:dyDescent="0.35">
      <c r="D83" s="9">
        <v>10</v>
      </c>
      <c r="E83" s="18">
        <v>9724.2647058823495</v>
      </c>
      <c r="F83" s="18">
        <v>1792.9411764705801</v>
      </c>
      <c r="G83" s="44">
        <v>4.8987463837994198</v>
      </c>
      <c r="H83" s="18">
        <v>-9475.0999999999894</v>
      </c>
      <c r="I83" s="18">
        <v>-2273.8031249999999</v>
      </c>
      <c r="J83" s="18">
        <v>-6.2125768442622897</v>
      </c>
    </row>
    <row r="84" spans="4:10" x14ac:dyDescent="0.35">
      <c r="D84" s="9">
        <v>15</v>
      </c>
      <c r="E84" s="18">
        <v>14586.397058823501</v>
      </c>
      <c r="F84" s="18">
        <v>2689.4117647058802</v>
      </c>
      <c r="G84" s="18">
        <v>7.3481195756991298</v>
      </c>
      <c r="H84" s="18">
        <v>-14212.65</v>
      </c>
      <c r="I84" s="18">
        <v>-3410.7046874999901</v>
      </c>
      <c r="J84" s="18">
        <v>-9.3188652663934395</v>
      </c>
    </row>
    <row r="85" spans="4:10" x14ac:dyDescent="0.35">
      <c r="D85" s="9">
        <v>20</v>
      </c>
      <c r="E85" s="18">
        <v>19448.529411764699</v>
      </c>
      <c r="F85" s="18">
        <v>3585.8823529411702</v>
      </c>
      <c r="G85" s="18">
        <v>9.7974927675988397</v>
      </c>
      <c r="H85" s="18">
        <v>-18950.199999999899</v>
      </c>
      <c r="I85" s="18">
        <v>-4547.6062499999998</v>
      </c>
      <c r="J85" s="18">
        <v>-12.4251536885245</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D2118-2E2B-4D6A-8BB5-87E49702B8EF}">
  <dimension ref="C1:H8"/>
  <sheetViews>
    <sheetView tabSelected="1" workbookViewId="0">
      <selection activeCell="C7" sqref="C7"/>
    </sheetView>
  </sheetViews>
  <sheetFormatPr defaultRowHeight="14.5" x14ac:dyDescent="0.35"/>
  <cols>
    <col min="4" max="4" width="11.453125" bestFit="1" customWidth="1"/>
    <col min="5" max="5" width="27.54296875" bestFit="1" customWidth="1"/>
    <col min="6" max="6" width="24.81640625" bestFit="1" customWidth="1"/>
    <col min="7" max="7" width="25.54296875" bestFit="1" customWidth="1"/>
    <col min="8" max="8" width="29.453125" bestFit="1" customWidth="1"/>
  </cols>
  <sheetData>
    <row r="1" spans="3:8" x14ac:dyDescent="0.35">
      <c r="E1" s="39" t="s">
        <v>256</v>
      </c>
      <c r="F1" s="38" t="s">
        <v>254</v>
      </c>
      <c r="G1" s="38" t="s">
        <v>255</v>
      </c>
      <c r="H1" s="38" t="s">
        <v>257</v>
      </c>
    </row>
    <row r="2" spans="3:8" x14ac:dyDescent="0.35">
      <c r="C2" s="59" t="s">
        <v>252</v>
      </c>
      <c r="D2" s="38" t="s">
        <v>250</v>
      </c>
      <c r="E2" s="37"/>
      <c r="F2" s="37"/>
      <c r="G2" s="37" t="s">
        <v>258</v>
      </c>
      <c r="H2" s="37" t="s">
        <v>258</v>
      </c>
    </row>
    <row r="3" spans="3:8" x14ac:dyDescent="0.35">
      <c r="C3" s="59"/>
      <c r="D3" s="38" t="s">
        <v>251</v>
      </c>
      <c r="E3" s="37"/>
      <c r="F3" s="37" t="s">
        <v>258</v>
      </c>
      <c r="G3" s="37" t="s">
        <v>258</v>
      </c>
      <c r="H3" s="37" t="s">
        <v>258</v>
      </c>
    </row>
    <row r="4" spans="3:8" x14ac:dyDescent="0.35">
      <c r="C4" s="59" t="s">
        <v>253</v>
      </c>
      <c r="D4" s="38" t="s">
        <v>250</v>
      </c>
      <c r="E4" s="37" t="s">
        <v>258</v>
      </c>
      <c r="F4" s="37" t="s">
        <v>258</v>
      </c>
      <c r="G4" s="37"/>
      <c r="H4" s="37"/>
    </row>
    <row r="5" spans="3:8" x14ac:dyDescent="0.35">
      <c r="C5" s="59"/>
      <c r="D5" s="38" t="s">
        <v>251</v>
      </c>
      <c r="E5" s="37" t="s">
        <v>258</v>
      </c>
      <c r="F5" s="37" t="s">
        <v>258</v>
      </c>
      <c r="G5" s="37"/>
      <c r="H5" s="37"/>
    </row>
    <row r="8" spans="3:8" x14ac:dyDescent="0.35">
      <c r="C8" t="s">
        <v>305</v>
      </c>
    </row>
  </sheetData>
  <mergeCells count="2">
    <mergeCell ref="C2:C3"/>
    <mergeCell ref="C4:C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NOC_ClusterName xmlns="2f6a910d-138e-42c1-8e8a-320c1b7cf3f7">KVE 2025 Ad hoc vragen</TNOC_ClusterName>
    <TNOC_ClusterId xmlns="2f6a910d-138e-42c1-8e8a-320c1b7cf3f7">P060.64316</TNOC_ClusterId>
    <lca20d149a844688b6abf34073d5c21d xmlns="cd3b4b84-6c4f-4da8-aa44-2e7f2f3d043a">
      <Terms xmlns="http://schemas.microsoft.com/office/infopath/2007/PartnerControls"/>
    </lca20d149a844688b6abf34073d5c21d>
    <n2a7a23bcc2241cb9261f9a914c7c1bb xmlns="cd3b4b84-6c4f-4da8-aa44-2e7f2f3d043a">
      <Terms xmlns="http://schemas.microsoft.com/office/infopath/2007/PartnerControls">
        <TermInfo xmlns="http://schemas.microsoft.com/office/infopath/2007/PartnerControls">
          <TermName xmlns="http://schemas.microsoft.com/office/infopath/2007/PartnerControls">TNO Internal</TermName>
          <TermId xmlns="http://schemas.microsoft.com/office/infopath/2007/PartnerControls">1a23c89f-ef54-4907-86fd-8242403ff722</TermId>
        </TermInfo>
      </Terms>
    </n2a7a23bcc2241cb9261f9a914c7c1bb>
    <TaxCatchAll xmlns="cd3b4b84-6c4f-4da8-aa44-2e7f2f3d043a">
      <Value>5</Value>
      <Value>1</Value>
    </TaxCatchAll>
    <h15fbb78f4cb41d290e72f301ea2865f xmlns="cd3b4b84-6c4f-4da8-aa44-2e7f2f3d043a">
      <Terms xmlns="http://schemas.microsoft.com/office/infopath/2007/PartnerControls">
        <TermInfo xmlns="http://schemas.microsoft.com/office/infopath/2007/PartnerControls">
          <TermName xmlns="http://schemas.microsoft.com/office/infopath/2007/PartnerControls">Project</TermName>
          <TermId xmlns="http://schemas.microsoft.com/office/infopath/2007/PartnerControls">fa11c4c9-105f-402c-bb40-9a56b4989397</TermId>
        </TermInfo>
      </Terms>
    </h15fbb78f4cb41d290e72f301ea2865f>
    <bac4ab11065f4f6c809c820c57e320e5 xmlns="cd3b4b84-6c4f-4da8-aa44-2e7f2f3d043a">
      <Terms xmlns="http://schemas.microsoft.com/office/infopath/2007/PartnerControls"/>
    </bac4ab11065f4f6c809c820c57e320e5>
    <_dlc_DocId xmlns="cd3b4b84-6c4f-4da8-aa44-2e7f2f3d043a">H3ARRVAKTVS4-864818149-43</_dlc_DocId>
    <_dlc_DocIdUrl xmlns="cd3b4b84-6c4f-4da8-aa44-2e7f2f3d043a">
      <Url>https://365tno.sharepoint.com/teams/P060.64316/_layouts/15/DocIdRedir.aspx?ID=H3ARRVAKTVS4-864818149-43</Url>
      <Description>H3ARRVAKTVS4-864818149-43</Description>
    </_dlc_DocIdUrl>
    <lcf76f155ced4ddcb4097134ff3c332f xmlns="e2e10f8b-ff03-4b12-b42b-a69784befbc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Cluster Document" ma:contentTypeID="0x010100A35317DCC28344A7B82488658A034A5C0100E11F19120F8F674A8EC2358C36537718" ma:contentTypeVersion="16" ma:contentTypeDescription="Een nieuw document maken." ma:contentTypeScope="" ma:versionID="d17ac6156740e76863ba15021296c7b2">
  <xsd:schema xmlns:xsd="http://www.w3.org/2001/XMLSchema" xmlns:xs="http://www.w3.org/2001/XMLSchema" xmlns:p="http://schemas.microsoft.com/office/2006/metadata/properties" xmlns:ns2="2f6a910d-138e-42c1-8e8a-320c1b7cf3f7" xmlns:ns3="cd3b4b84-6c4f-4da8-aa44-2e7f2f3d043a" xmlns:ns5="e2e10f8b-ff03-4b12-b42b-a69784befbc3" targetNamespace="http://schemas.microsoft.com/office/2006/metadata/properties" ma:root="true" ma:fieldsID="549e6f795f7e4ca2edab93b35b3bc9da" ns2:_="" ns3:_="" ns5:_="">
    <xsd:import namespace="2f6a910d-138e-42c1-8e8a-320c1b7cf3f7"/>
    <xsd:import namespace="cd3b4b84-6c4f-4da8-aa44-2e7f2f3d043a"/>
    <xsd:import namespace="e2e10f8b-ff03-4b12-b42b-a69784befbc3"/>
    <xsd:element name="properties">
      <xsd:complexType>
        <xsd:sequence>
          <xsd:element name="documentManagement">
            <xsd:complexType>
              <xsd:all>
                <xsd:element ref="ns2:TNOC_ClusterName" minOccurs="0"/>
                <xsd:element ref="ns2:TNOC_ClusterId" minOccurs="0"/>
                <xsd:element ref="ns3:h15fbb78f4cb41d290e72f301ea2865f" minOccurs="0"/>
                <xsd:element ref="ns3:TaxCatchAll" minOccurs="0"/>
                <xsd:element ref="ns3:TaxCatchAllLabel" minOccurs="0"/>
                <xsd:element ref="ns3:_dlc_DocIdPersistId" minOccurs="0"/>
                <xsd:element ref="ns3:n2a7a23bcc2241cb9261f9a914c7c1bb" minOccurs="0"/>
                <xsd:element ref="ns3:lca20d149a844688b6abf34073d5c21d" minOccurs="0"/>
                <xsd:element ref="ns3:_dlc_DocIdUrl" minOccurs="0"/>
                <xsd:element ref="ns3:bac4ab11065f4f6c809c820c57e320e5" minOccurs="0"/>
                <xsd:element ref="ns3:_dlc_DocId" minOccurs="0"/>
                <xsd:element ref="ns5:MediaServiceMetadata" minOccurs="0"/>
                <xsd:element ref="ns5:MediaServiceFastMetadata" minOccurs="0"/>
                <xsd:element ref="ns5:MediaServiceSearchProperties" minOccurs="0"/>
                <xsd:element ref="ns5:MediaServiceDateTaken" minOccurs="0"/>
                <xsd:element ref="ns5:lcf76f155ced4ddcb4097134ff3c332f" minOccurs="0"/>
                <xsd:element ref="ns5:MediaServiceOCR" minOccurs="0"/>
                <xsd:element ref="ns5:MediaServiceGenerationTime" minOccurs="0"/>
                <xsd:element ref="ns5: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f6a910d-138e-42c1-8e8a-320c1b7cf3f7" elementFormDefault="qualified">
    <xsd:import namespace="http://schemas.microsoft.com/office/2006/documentManagement/types"/>
    <xsd:import namespace="http://schemas.microsoft.com/office/infopath/2007/PartnerControls"/>
    <xsd:element name="TNOC_ClusterName" ma:index="6" nillable="true" ma:displayName="Cluster name" ma:internalName="TNOC_ClusterName">
      <xsd:simpleType>
        <xsd:restriction base="dms:Text">
          <xsd:maxLength value="255"/>
        </xsd:restriction>
      </xsd:simpleType>
    </xsd:element>
    <xsd:element name="TNOC_ClusterId" ma:index="7" nillable="true" ma:displayName="Cluster ID" ma:internalName="TNOC_Clust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d3b4b84-6c4f-4da8-aa44-2e7f2f3d043a" elementFormDefault="qualified">
    <xsd:import namespace="http://schemas.microsoft.com/office/2006/documentManagement/types"/>
    <xsd:import namespace="http://schemas.microsoft.com/office/infopath/2007/PartnerControls"/>
    <xsd:element name="h15fbb78f4cb41d290e72f301ea2865f" ma:index="13" nillable="true" ma:taxonomy="true" ma:internalName="h15fbb78f4cb41d290e72f301ea2865f" ma:taxonomyFieldName="TNOC_ClusterType" ma:displayName="Cluster type" ma:fieldId="{115fbb78-f4cb-41d2-90e7-2f301ea2865f}" ma:sspId="7378aa68-586f-4892-bb77-0985b40f41a6" ma:termSetId="e7feef8e-5ede-44cd-b7d5-7ed7dacef0b4"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c190da3d-4848-458b-83c8-aaa26651965f}" ma:internalName="TaxCatchAll" ma:showField="CatchAllData" ma:web="cd3b4b84-6c4f-4da8-aa44-2e7f2f3d043a">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c190da3d-4848-458b-83c8-aaa26651965f}" ma:internalName="TaxCatchAllLabel" ma:readOnly="true" ma:showField="CatchAllDataLabel" ma:web="cd3b4b84-6c4f-4da8-aa44-2e7f2f3d043a">
      <xsd:complexType>
        <xsd:complexContent>
          <xsd:extension base="dms:MultiChoiceLookup">
            <xsd:sequence>
              <xsd:element name="Value" type="dms:Lookup" maxOccurs="unbounded" minOccurs="0" nillable="true"/>
            </xsd:sequence>
          </xsd:extension>
        </xsd:complexContent>
      </xsd:complexType>
    </xsd:element>
    <xsd:element name="_dlc_DocIdPersistId" ma:index="16" nillable="true" ma:displayName="Persist ID" ma:description="Keep ID on add." ma:hidden="true" ma:internalName="_dlc_DocIdPersistId" ma:readOnly="true">
      <xsd:simpleType>
        <xsd:restriction base="dms:Boolean"/>
      </xsd:simpleType>
    </xsd:element>
    <xsd:element name="n2a7a23bcc2241cb9261f9a914c7c1bb" ma:index="17" nillable="true" ma:taxonomy="true" ma:internalName="n2a7a23bcc2241cb9261f9a914c7c1bb" ma:taxonomyFieldName="TNOC_DocumentClassification" ma:displayName="Document classification" ma:fieldId="{72a7a23b-cc22-41cb-9261-f9a914c7c1bb}" ma:sspId="7378aa68-586f-4892-bb77-0985b40f41a6" ma:termSetId="ff8f31fd-7572-41dc-9fe4-bd4c6d280f39" ma:anchorId="00000000-0000-0000-0000-000000000000" ma:open="false" ma:isKeyword="false">
      <xsd:complexType>
        <xsd:sequence>
          <xsd:element ref="pc:Terms" minOccurs="0" maxOccurs="1"/>
        </xsd:sequence>
      </xsd:complexType>
    </xsd:element>
    <xsd:element name="lca20d149a844688b6abf34073d5c21d" ma:index="19" nillable="true" ma:taxonomy="true" ma:internalName="lca20d149a844688b6abf34073d5c21d" ma:taxonomyFieldName="TNOC_DocumentType" ma:displayName="Document type" ma:fieldId="{5ca20d14-9a84-4688-b6ab-f34073d5c21d}" ma:sspId="7378aa68-586f-4892-bb77-0985b40f41a6" ma:termSetId="e8a13a9e-c4f3-4184-b8d9-8210abad4948" ma:anchorId="00000000-0000-0000-0000-000000000000" ma:open="false" ma:isKeyword="false">
      <xsd:complexType>
        <xsd:sequence>
          <xsd:element ref="pc:Terms" minOccurs="0" maxOccurs="1"/>
        </xsd:sequence>
      </xsd:complexType>
    </xsd:element>
    <xsd:element name="_dlc_DocIdUrl" ma:index="20" nillable="true" ma:displayName="Document-id" ma:description="Permanente koppeling naar dit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bac4ab11065f4f6c809c820c57e320e5" ma:index="22" nillable="true" ma:taxonomy="true" ma:internalName="bac4ab11065f4f6c809c820c57e320e5" ma:taxonomyFieldName="TNOC_DocumentCategory" ma:displayName="Document category" ma:fieldId="{bac4ab11-065f-4f6c-809c-820c57e320e5}" ma:sspId="7378aa68-586f-4892-bb77-0985b40f41a6" ma:termSetId="94d42b6a-4155-4fa6-95e9-087bc306ceb3" ma:anchorId="00000000-0000-0000-0000-000000000000" ma:open="false" ma:isKeyword="false">
      <xsd:complexType>
        <xsd:sequence>
          <xsd:element ref="pc:Terms" minOccurs="0" maxOccurs="1"/>
        </xsd:sequence>
      </xsd:complexType>
    </xsd:element>
    <xsd:element name="_dlc_DocId" ma:index="23" nillable="true" ma:displayName="Waarde van de document-id" ma:description="De waarde van de document-id die aan dit item is toegewezen." ma:indexed="true" ma:internalName="_dlc_DocId"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2e10f8b-ff03-4b12-b42b-a69784befbc3" elementFormDefault="qualified">
    <xsd:import namespace="http://schemas.microsoft.com/office/2006/documentManagement/types"/>
    <xsd:import namespace="http://schemas.microsoft.com/office/infopath/2007/PartnerControls"/>
    <xsd:element name="MediaServiceMetadata" ma:index="24" nillable="true" ma:displayName="MediaServiceMetadata" ma:hidden="true" ma:internalName="MediaServiceMetadata" ma:readOnly="true">
      <xsd:simpleType>
        <xsd:restriction base="dms:Note"/>
      </xsd:simpleType>
    </xsd:element>
    <xsd:element name="MediaServiceFastMetadata" ma:index="25" nillable="true" ma:displayName="MediaServiceFastMetadata" ma:hidden="true" ma:internalName="MediaServiceFastMetadata" ma:readOnly="true">
      <xsd:simpleType>
        <xsd:restriction base="dms:Note"/>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lcf76f155ced4ddcb4097134ff3c332f" ma:index="29" nillable="true" ma:taxonomy="true" ma:internalName="lcf76f155ced4ddcb4097134ff3c332f" ma:taxonomyFieldName="MediaServiceImageTags" ma:displayName="Afbeeldingtags" ma:readOnly="false" ma:fieldId="{5cf76f15-5ced-4ddc-b409-7134ff3c332f}" ma:taxonomyMulti="true" ma:sspId="7378aa68-586f-4892-bb77-0985b40f41a6" ma:termSetId="09814cd3-568e-fe90-9814-8d621ff8fb84" ma:anchorId="fba54fb3-c3e1-fe81-a776-ca4b69148c4d" ma:open="true" ma:isKeyword="false">
      <xsd:complexType>
        <xsd:sequence>
          <xsd:element ref="pc:Terms" minOccurs="0" maxOccurs="1"/>
        </xsd:sequence>
      </xsd:complex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eur"/>
        <xsd:element ref="dcterms:created" minOccurs="0" maxOccurs="1"/>
        <xsd:element ref="dc:identifier" minOccurs="0" maxOccurs="1"/>
        <xsd:element name="contentType" minOccurs="0" maxOccurs="1" type="xsd:string" ma:index="0" ma:displayName="Inhoudstype"/>
        <xsd:element ref="dc:title" minOccurs="0" maxOccurs="1" ma:index="3"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49487898-24B1-42C6-ACD3-2800DF2A517F}">
  <ds:schemaRefs>
    <ds:schemaRef ds:uri="http://schemas.microsoft.com/sharepoint/v3/contenttype/forms"/>
  </ds:schemaRefs>
</ds:datastoreItem>
</file>

<file path=customXml/itemProps2.xml><?xml version="1.0" encoding="utf-8"?>
<ds:datastoreItem xmlns:ds="http://schemas.openxmlformats.org/officeDocument/2006/customXml" ds:itemID="{9647ED5A-7FE5-48F9-81EB-6F3CB9950F73}">
  <ds:schemaRefs>
    <ds:schemaRef ds:uri="http://purl.org/dc/terms/"/>
    <ds:schemaRef ds:uri="http://schemas.microsoft.com/office/2006/documentManagement/types"/>
    <ds:schemaRef ds:uri="http://schemas.openxmlformats.org/package/2006/metadata/core-properties"/>
    <ds:schemaRef ds:uri="e2e10f8b-ff03-4b12-b42b-a69784befbc3"/>
    <ds:schemaRef ds:uri="http://schemas.microsoft.com/office/infopath/2007/PartnerControls"/>
    <ds:schemaRef ds:uri="cd3b4b84-6c4f-4da8-aa44-2e7f2f3d043a"/>
    <ds:schemaRef ds:uri="http://schemas.microsoft.com/office/2006/metadata/properties"/>
    <ds:schemaRef ds:uri="http://purl.org/dc/dcmitype/"/>
    <ds:schemaRef ds:uri="2f6a910d-138e-42c1-8e8a-320c1b7cf3f7"/>
    <ds:schemaRef ds:uri="http://www.w3.org/XML/1998/namespace"/>
    <ds:schemaRef ds:uri="http://purl.org/dc/elements/1.1/"/>
  </ds:schemaRefs>
</ds:datastoreItem>
</file>

<file path=customXml/itemProps3.xml><?xml version="1.0" encoding="utf-8"?>
<ds:datastoreItem xmlns:ds="http://schemas.openxmlformats.org/officeDocument/2006/customXml" ds:itemID="{13577922-9A4F-48BB-8EA7-299C143A19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f6a910d-138e-42c1-8e8a-320c1b7cf3f7"/>
    <ds:schemaRef ds:uri="cd3b4b84-6c4f-4da8-aa44-2e7f2f3d043a"/>
    <ds:schemaRef ds:uri="e2e10f8b-ff03-4b12-b42b-a69784befb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CD949077-1333-44B0-B6CC-2410B3E2E77C}">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25</vt:i4>
      </vt:variant>
    </vt:vector>
  </HeadingPairs>
  <TitlesOfParts>
    <vt:vector size="32" baseType="lpstr">
      <vt:lpstr>Readme</vt:lpstr>
      <vt:lpstr>Energy use</vt:lpstr>
      <vt:lpstr>Sheet1</vt:lpstr>
      <vt:lpstr>Appliance calculation methods</vt:lpstr>
      <vt:lpstr>EVs</vt:lpstr>
      <vt:lpstr>Home batteries</vt:lpstr>
      <vt:lpstr>Heat pumps</vt:lpstr>
      <vt:lpstr>car_charge_from_network_kWh_km_high</vt:lpstr>
      <vt:lpstr>car_charge_from_network_kWh_km_low</vt:lpstr>
      <vt:lpstr>car_charge_from_network_per_km</vt:lpstr>
      <vt:lpstr>car_consumption</vt:lpstr>
      <vt:lpstr>car_consumption_high</vt:lpstr>
      <vt:lpstr>EVs!car_consumption_low</vt:lpstr>
      <vt:lpstr>EVs!car_Kilometrages</vt:lpstr>
      <vt:lpstr>charger_efficiency</vt:lpstr>
      <vt:lpstr>charger_efficiency_dedicated_charger</vt:lpstr>
      <vt:lpstr>charger_efficiency_wall_plug</vt:lpstr>
      <vt:lpstr>EVs!days_per_year</vt:lpstr>
      <vt:lpstr>EVs!e_bike_consumption</vt:lpstr>
      <vt:lpstr>EVs!kilometrage_years</vt:lpstr>
      <vt:lpstr>kWh_per_day_car_per_type_average_high</vt:lpstr>
      <vt:lpstr>EVs!kWh_per_day_car_per_type_average_low</vt:lpstr>
      <vt:lpstr>kWh_per_day_car_per_type_FEV_high</vt:lpstr>
      <vt:lpstr>kWh_per_day_car_per_type_FEV_low</vt:lpstr>
      <vt:lpstr>kWh_per_day_car_per_type_gasoline_high</vt:lpstr>
      <vt:lpstr>kWh_per_day_car_per_type_gasoline_low</vt:lpstr>
      <vt:lpstr>kWh_per_day_car_per_type_high</vt:lpstr>
      <vt:lpstr>EVs!kWh_per_day_car_per_type_low</vt:lpstr>
      <vt:lpstr>percent_using_dedicated_charger</vt:lpstr>
      <vt:lpstr>percent_using_wall_plug</vt:lpstr>
      <vt:lpstr>EVs!selected_e_bike_kilometrages</vt:lpstr>
      <vt:lpstr>EVs!Vehicle_types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Schravemade, M.W. (Martin)</dc:creator>
  <cp:keywords/>
  <dc:description/>
  <cp:lastModifiedBy>Schravemade, M.W. (Martin)</cp:lastModifiedBy>
  <cp:revision/>
  <dcterms:created xsi:type="dcterms:W3CDTF">2025-06-04T10:14:28Z</dcterms:created>
  <dcterms:modified xsi:type="dcterms:W3CDTF">2025-12-04T11:36:19Z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0x010100A35317DCC28344A7B82488658A034A5C0100E11F19120F8F674A8EC2358C36537718</vt:lpwstr>
  </property>
  <property fmtid="{D5CDD505-2E9C-101B-9397-08002B2CF9AE}" pid="3" name="TNOC_DocumentType">
    <vt:lpwstr/>
  </property>
  <property fmtid="{D5CDD505-2E9C-101B-9397-08002B2CF9AE}" pid="4" name="TNOC_DocumentCategory">
    <vt:lpwstr/>
  </property>
  <property fmtid="{D5CDD505-2E9C-101B-9397-08002B2CF9AE}" pid="5" name="TNOC_ClusterType">
    <vt:lpwstr>1;#Project|fa11c4c9-105f-402c-bb40-9a56b4989397</vt:lpwstr>
  </property>
  <property fmtid="{D5CDD505-2E9C-101B-9397-08002B2CF9AE}" pid="6" name="TNOC_DocumentClassification">
    <vt:lpwstr>5;#TNO Internal|1a23c89f-ef54-4907-86fd-8242403ff722</vt:lpwstr>
  </property>
  <property fmtid="{D5CDD505-2E9C-101B-9397-08002B2CF9AE}" pid="7" name="_dlc_DocIdItemGuid">
    <vt:lpwstr>7661b9ad-1aa8-4964-9c83-17a1dd7a96be</vt:lpwstr>
  </property>
  <property fmtid="{D5CDD505-2E9C-101B-9397-08002B2CF9AE}" pid="8" name="MediaServiceImageTags">
    <vt:lpwstr/>
  </property>
</Properties>
</file>