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codeName="{4D1C537B-E38A-612A-F078-A93A15B4B7F4}"/>
  <workbookPr codeName="ThisWorkbook" defaultThemeVersion="166925"/>
  <mc:AlternateContent xmlns:mc="http://schemas.openxmlformats.org/markup-compatibility/2006">
    <mc:Choice Requires="x15">
      <x15ac:absPath xmlns:x15ac="http://schemas.microsoft.com/office/spreadsheetml/2010/11/ac" url="https://365tno.sharepoint.com/teams/P060.43190/TeamDocuments/Team/P4A_Karakterisatie/4A3/Duurzaamheid geothermie/Fase 1/3 - Emissions other heatsources/"/>
    </mc:Choice>
  </mc:AlternateContent>
  <xr:revisionPtr revIDLastSave="90" documentId="8_{A3B6442F-FD41-44EE-9E57-FB59FCD4B23B}" xr6:coauthVersionLast="46" xr6:coauthVersionMax="46" xr10:uidLastSave="{8D29CE1D-AEB3-41B9-AF93-E11D0D730F81}"/>
  <bookViews>
    <workbookView xWindow="-120" yWindow="-120" windowWidth="38640" windowHeight="23640" activeTab="1" xr2:uid="{848547AB-0382-44D4-92FA-905BAF740079}"/>
  </bookViews>
  <sheets>
    <sheet name="Disclaimer &amp; uitleg model" sheetId="1" r:id="rId1"/>
    <sheet name="CO2-berekening " sheetId="2" r:id="rId2"/>
    <sheet name="Parameters &amp; aannames" sheetId="3" r:id="rId3"/>
  </sheets>
  <definedNames>
    <definedName name="aandeel_bron1">'CO2-berekening '!$Y$8</definedName>
    <definedName name="aandeel_bron2">'CO2-berekening '!$AA$8</definedName>
    <definedName name="aandeel_bron3">'CO2-berekening '!$AC$8</definedName>
    <definedName name="aandeel_formatiegas">'CO2-berekening '!$Q$8</definedName>
    <definedName name="aandeel_geowater">'CO2-berekening '!$N$8</definedName>
    <definedName name="aandeel_piek1">'CO2-berekening '!$AG$8</definedName>
    <definedName name="aandeel_piek2">'CO2-berekening '!$AI$8</definedName>
    <definedName name="aandeel_verlies">'CO2-berekening '!$H$7</definedName>
    <definedName name="aandeel_WP">'CO2-berekening '!$U$8</definedName>
    <definedName name="bijvangst">'CO2-berekening '!$Q$13</definedName>
    <definedName name="CO2_landelijknet_2015">'Parameters &amp; aannames'!#REF!</definedName>
    <definedName name="CO2_landelijknet_2020">'Parameters &amp; aannames'!#REF!</definedName>
    <definedName name="CO2_landelijknet_2025">'Parameters &amp; aannames'!#REF!</definedName>
    <definedName name="CO2_landelijknet_2030">'Parameters &amp; aannames'!#REF!</definedName>
    <definedName name="CO2_landelijknet_20XX">'Parameters &amp; aannames'!#REF!</definedName>
    <definedName name="COP_GT">'CO2-berekening '!$N$14</definedName>
    <definedName name="COP_WP">'CO2-berekening '!$U$14</definedName>
    <definedName name="Cpwater">'Parameters &amp; aannames'!$E$13</definedName>
    <definedName name="debiet">'CO2-berekening '!$N$18</definedName>
    <definedName name="draaiuren">'CO2-berekening '!$N$17</definedName>
    <definedName name="emissiefactor_aardgas">'Parameters &amp; aannames'!$D$34</definedName>
    <definedName name="emissiefactor_elektriciteit_2015">'Parameters &amp; aannames'!$E$19</definedName>
    <definedName name="emissiefactor_elektriciteit_2020">'Parameters &amp; aannames'!$F$19</definedName>
    <definedName name="emissiefactor_elektriciteit_2025">'Parameters &amp; aannames'!$G$19</definedName>
    <definedName name="emissiefactor_elektriciteit_2030">'Parameters &amp; aannames'!$H$19</definedName>
    <definedName name="emissiefactor_elektriciteit_20XX">'Parameters &amp; aannames'!$I$19</definedName>
    <definedName name="energie_aardgas">'Parameters &amp; aannames'!$G$7</definedName>
    <definedName name="energy_aardgas">'Parameters &amp; aannames'!$G$7</definedName>
    <definedName name="GT_elec">'CO2-berekening '!$N$13</definedName>
    <definedName name="GT_prod_gas">'CO2-berekening '!$Q$20</definedName>
    <definedName name="GT_prod_water">'CO2-berekening '!$N$20</definedName>
    <definedName name="GT_prod_wp">'CO2-berekening '!$U$13</definedName>
    <definedName name="mark">'CO2-berekening '!$Y$19</definedName>
    <definedName name="rendement_gasketel">'Parameters &amp; aannames'!$E$21</definedName>
    <definedName name="rendement_primairfossiel_2015">'Parameters &amp; aannames'!#REF!</definedName>
    <definedName name="rendement_primairfossiel_2020">'Parameters &amp; aannames'!#REF!</definedName>
    <definedName name="rendement_primairfossiel_2025">'Parameters &amp; aannames'!#REF!</definedName>
    <definedName name="rendement_primairfossiel_2030">'Parameters &amp; aannames'!#REF!</definedName>
    <definedName name="rendement_primairfossiel_20XX">'Parameters &amp; aannames'!#REF!</definedName>
    <definedName name="Rhowater">'Parameters &amp; aannames'!$E$14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 i="2" l="1"/>
  <c r="D14" i="2" l="1"/>
  <c r="H19" i="3" l="1"/>
  <c r="G19" i="3"/>
  <c r="F19" i="3"/>
  <c r="E19" i="3"/>
  <c r="D15" i="2"/>
  <c r="D8" i="2" s="1"/>
  <c r="U12" i="2"/>
  <c r="U13" i="2"/>
  <c r="Y37" i="2" l="1"/>
  <c r="T38" i="2"/>
  <c r="T37" i="2"/>
  <c r="AP47" i="2"/>
  <c r="AO47" i="2"/>
  <c r="AR47" i="2"/>
  <c r="AQ47" i="2"/>
  <c r="N19" i="2" l="1"/>
  <c r="Q13" i="2" l="1"/>
  <c r="AR67" i="2"/>
  <c r="AP67" i="2"/>
  <c r="AR68" i="2" l="1"/>
  <c r="AQ67" i="2"/>
  <c r="AP68" i="2"/>
  <c r="AQ68" i="2"/>
  <c r="AO68" i="2"/>
  <c r="N20" i="2" l="1"/>
  <c r="AR45" i="2" l="1"/>
  <c r="AO45" i="2"/>
  <c r="AQ45" i="2"/>
  <c r="AP45" i="2"/>
  <c r="N38" i="2"/>
  <c r="N8" i="2"/>
  <c r="N37" i="2"/>
  <c r="Q17" i="2"/>
  <c r="Q15" i="2"/>
  <c r="N39" i="2" l="1"/>
  <c r="Q19" i="2"/>
  <c r="Q38" i="2" s="1"/>
  <c r="Q20" i="2"/>
  <c r="Q37" i="2" s="1"/>
  <c r="U8" i="2"/>
  <c r="AP57" i="2" l="1"/>
  <c r="AR57" i="2"/>
  <c r="AO57" i="2"/>
  <c r="AQ57" i="2"/>
  <c r="AC37" i="2"/>
  <c r="AA37" i="2"/>
  <c r="Y38" i="2"/>
  <c r="AI37" i="2"/>
  <c r="AG37" i="2"/>
  <c r="T39" i="2"/>
  <c r="AO59" i="2"/>
  <c r="AP59" i="2"/>
  <c r="AQ59" i="2"/>
  <c r="AR59" i="2"/>
  <c r="AO58" i="2"/>
  <c r="F42" i="3"/>
  <c r="G42" i="3" s="1"/>
  <c r="F38" i="3"/>
  <c r="G38" i="3" s="1"/>
  <c r="H38" i="3" l="1"/>
  <c r="I38" i="3" s="1"/>
  <c r="AP58" i="2"/>
  <c r="H42" i="3"/>
  <c r="AQ58" i="2" l="1"/>
  <c r="I42" i="3"/>
  <c r="AR58" i="2" s="1"/>
  <c r="AR46" i="2" l="1"/>
  <c r="AR49" i="2" s="1"/>
  <c r="AH76" i="2"/>
  <c r="AH75" i="2"/>
  <c r="AH73" i="2"/>
  <c r="AH72" i="2"/>
  <c r="AH71" i="2"/>
  <c r="AH62" i="2"/>
  <c r="AH61" i="2"/>
  <c r="AH60" i="2"/>
  <c r="AH59" i="2"/>
  <c r="AH58" i="2"/>
  <c r="AQ46" i="2" l="1"/>
  <c r="AQ49" i="2" s="1"/>
  <c r="AO46" i="2"/>
  <c r="AO49" i="2" s="1"/>
  <c r="AP46" i="2"/>
  <c r="AP49" i="2" s="1"/>
  <c r="M70" i="3" l="1"/>
  <c r="M71" i="3"/>
  <c r="M69" i="3"/>
  <c r="F34" i="3" s="1"/>
  <c r="AO61" i="2" l="1"/>
  <c r="H34" i="3"/>
  <c r="G34" i="3"/>
  <c r="AP61" i="2" l="1"/>
  <c r="I34" i="3"/>
  <c r="AQ61" i="2"/>
  <c r="F40" i="3"/>
  <c r="AO62" i="2" s="1"/>
  <c r="F39" i="3"/>
  <c r="G39" i="3" s="1"/>
  <c r="H39" i="3" s="1"/>
  <c r="I39" i="3" s="1"/>
  <c r="G40" i="3" l="1"/>
  <c r="AP62" i="2" s="1"/>
  <c r="AO60" i="2"/>
  <c r="AR61" i="2"/>
  <c r="E7" i="3"/>
  <c r="G7" i="3" s="1"/>
  <c r="G6" i="3"/>
  <c r="H40" i="3" l="1"/>
  <c r="AQ62" i="2" s="1"/>
  <c r="AP60" i="2"/>
  <c r="AR50" i="2"/>
  <c r="AQ50" i="2"/>
  <c r="AP50" i="2"/>
  <c r="AO48" i="2"/>
  <c r="I40" i="3" l="1"/>
  <c r="AQ60" i="2"/>
  <c r="AO50" i="2"/>
  <c r="AO51" i="2" s="1"/>
  <c r="AP48" i="2"/>
  <c r="AP51" i="2" s="1"/>
  <c r="AR48" i="2"/>
  <c r="AR51" i="2" s="1"/>
  <c r="AQ48" i="2"/>
  <c r="AQ51" i="2" s="1"/>
  <c r="AR60" i="2" l="1"/>
  <c r="AR62" i="2"/>
  <c r="AA38" i="2"/>
  <c r="AA39" i="2" s="1"/>
  <c r="AI38" i="2"/>
  <c r="AI39" i="2" s="1"/>
  <c r="AG38" i="2"/>
  <c r="Y39" i="2"/>
  <c r="AC38" i="2"/>
  <c r="AC39" i="2" s="1"/>
  <c r="AG39" i="2" l="1"/>
  <c r="J38" i="2" l="1"/>
  <c r="D38" i="2" s="1"/>
  <c r="Q8" i="2" l="1"/>
  <c r="Q5" i="2" l="1"/>
  <c r="Q39" i="2"/>
  <c r="J37" i="2"/>
  <c r="AP56" i="2"/>
  <c r="AO56" i="2"/>
  <c r="AQ56" i="2"/>
  <c r="AR56" i="2"/>
  <c r="D37" i="2" l="1"/>
  <c r="D7" i="2"/>
  <c r="C19" i="2" s="1"/>
  <c r="J39" i="2"/>
  <c r="AO55" i="2"/>
  <c r="AO54" i="2" s="1"/>
  <c r="AP55" i="2"/>
  <c r="AP64" i="2" s="1"/>
  <c r="AP70" i="2" s="1"/>
  <c r="AR55" i="2"/>
  <c r="AR54" i="2" s="1"/>
  <c r="AQ55" i="2"/>
  <c r="AQ54" i="2" s="1"/>
  <c r="AQ64" i="2" l="1"/>
  <c r="AQ74" i="2" s="1"/>
  <c r="AR64" i="2"/>
  <c r="AR70" i="2" s="1"/>
  <c r="AO64" i="2"/>
  <c r="AO70" i="2" s="1"/>
  <c r="AP54" i="2"/>
  <c r="AP73" i="2"/>
  <c r="AP74" i="2"/>
  <c r="AP72" i="2"/>
  <c r="AP63" i="2"/>
  <c r="AP77" i="2" s="1"/>
  <c r="AP75" i="2"/>
  <c r="AP69" i="2"/>
  <c r="AP71" i="2"/>
  <c r="AP76" i="2"/>
  <c r="D39" i="2"/>
  <c r="AR76" i="2" l="1"/>
  <c r="AR71" i="2"/>
  <c r="AR75" i="2"/>
  <c r="AR69" i="2"/>
  <c r="AR72" i="2"/>
  <c r="AR73" i="2"/>
  <c r="AO76" i="2"/>
  <c r="AO75" i="2"/>
  <c r="AO63" i="2"/>
  <c r="AO77" i="2" s="1"/>
  <c r="AR74" i="2"/>
  <c r="AO71" i="2"/>
  <c r="AR63" i="2"/>
  <c r="AR77" i="2" s="1"/>
  <c r="AO73" i="2"/>
  <c r="AQ63" i="2"/>
  <c r="AQ77" i="2" s="1"/>
  <c r="AQ72" i="2"/>
  <c r="AQ69" i="2"/>
  <c r="AQ73" i="2"/>
  <c r="AQ75" i="2"/>
  <c r="AQ76" i="2"/>
  <c r="AQ70" i="2"/>
  <c r="AQ71" i="2"/>
  <c r="AO72" i="2"/>
  <c r="AO69" i="2"/>
  <c r="AO74" i="2"/>
  <c r="N40" i="2"/>
  <c r="AP79" i="2"/>
  <c r="AG40" i="2"/>
  <c r="AC40" i="2"/>
  <c r="T40" i="2"/>
  <c r="D40" i="2"/>
  <c r="AI40" i="2"/>
  <c r="Y40" i="2"/>
  <c r="AA40" i="2"/>
  <c r="Q40" i="2"/>
  <c r="J40" i="2"/>
  <c r="AR79" i="2" l="1"/>
  <c r="AQ79" i="2"/>
  <c r="AO79" i="2"/>
  <c r="H40" i="2"/>
</calcChain>
</file>

<file path=xl/sharedStrings.xml><?xml version="1.0" encoding="utf-8"?>
<sst xmlns="http://schemas.openxmlformats.org/spreadsheetml/2006/main" count="303" uniqueCount="188">
  <si>
    <t>voorbeeld:</t>
  </si>
  <si>
    <t>Warmteverlies</t>
  </si>
  <si>
    <t>Warmtenet</t>
  </si>
  <si>
    <t>Biomassa, uit NL</t>
  </si>
  <si>
    <t xml:space="preserve">Russisch aardgas </t>
  </si>
  <si>
    <r>
      <rPr>
        <b/>
        <sz val="11"/>
        <color theme="1"/>
        <rFont val="Calibri"/>
        <family val="2"/>
        <scheme val="minor"/>
      </rPr>
      <t>1</t>
    </r>
    <r>
      <rPr>
        <sz val="11"/>
        <color theme="1"/>
        <rFont val="Calibri"/>
        <family val="2"/>
        <scheme val="minor"/>
      </rPr>
      <t>) Totaal geconsumeerde elektriciteit</t>
    </r>
  </si>
  <si>
    <t>Productietemperatuur</t>
  </si>
  <si>
    <r>
      <rPr>
        <sz val="11"/>
        <color theme="1"/>
        <rFont val="Calibri"/>
        <family val="2"/>
      </rPr>
      <t>°</t>
    </r>
    <r>
      <rPr>
        <sz val="12.1"/>
        <color theme="1"/>
        <rFont val="Calibri"/>
        <family val="2"/>
      </rPr>
      <t>C</t>
    </r>
  </si>
  <si>
    <t>uur/jaar</t>
  </si>
  <si>
    <r>
      <t>m</t>
    </r>
    <r>
      <rPr>
        <vertAlign val="superscript"/>
        <sz val="11"/>
        <color theme="1"/>
        <rFont val="Calibri"/>
        <family val="2"/>
        <scheme val="minor"/>
      </rPr>
      <t>3</t>
    </r>
    <r>
      <rPr>
        <sz val="11"/>
        <color theme="1"/>
        <rFont val="Calibri"/>
        <family val="2"/>
        <scheme val="minor"/>
      </rPr>
      <t>/h</t>
    </r>
  </si>
  <si>
    <t>20XX</t>
  </si>
  <si>
    <t>Emissie pompen</t>
  </si>
  <si>
    <t>kg</t>
  </si>
  <si>
    <t>Emissie bijvangst</t>
  </si>
  <si>
    <t>CO2 factor pompen</t>
  </si>
  <si>
    <t>kg/GJ</t>
  </si>
  <si>
    <t>CO2 factor bijvangst</t>
  </si>
  <si>
    <t>CO2 emissie totaal bron</t>
  </si>
  <si>
    <t>Emissie warmtenet</t>
  </si>
  <si>
    <t>Emissie geothermiebron</t>
  </si>
  <si>
    <t>Emissie geothermiebron - pompen</t>
  </si>
  <si>
    <t>Emissie geothermiebron - bijvangst</t>
  </si>
  <si>
    <t>Emissie WP</t>
  </si>
  <si>
    <t>Emissie netverlies</t>
  </si>
  <si>
    <t>Totaal</t>
  </si>
  <si>
    <t>Doelstelling Klimaatakkoord</t>
  </si>
  <si>
    <t>Doelstelling Warmtewet</t>
  </si>
  <si>
    <t>Parameters &amp; aannames</t>
  </si>
  <si>
    <t>Conversie</t>
  </si>
  <si>
    <t>Referentie</t>
  </si>
  <si>
    <t>Opmerkingen</t>
  </si>
  <si>
    <r>
      <t xml:space="preserve">aardgas - </t>
    </r>
    <r>
      <rPr>
        <i/>
        <sz val="11"/>
        <color theme="1"/>
        <rFont val="Calibri"/>
        <family val="2"/>
        <scheme val="minor"/>
      </rPr>
      <t>onderwaarde</t>
    </r>
  </si>
  <si>
    <t>GJ/m3</t>
  </si>
  <si>
    <t>Zijlema (2020)</t>
  </si>
  <si>
    <r>
      <t>aardgas -</t>
    </r>
    <r>
      <rPr>
        <i/>
        <sz val="11"/>
        <color theme="1"/>
        <rFont val="Calibri"/>
        <family val="2"/>
        <scheme val="minor"/>
      </rPr>
      <t xml:space="preserve"> bovenwaarde</t>
    </r>
  </si>
  <si>
    <t>omrekenfactor bovenwaarde/onderwaarde</t>
  </si>
  <si>
    <t>RVO (2019, update 2020)</t>
  </si>
  <si>
    <t>kg/kWh =</t>
  </si>
  <si>
    <t>Emissiefactor elektriciteit</t>
  </si>
  <si>
    <t>kg/kWh</t>
  </si>
  <si>
    <t>kg/GJp</t>
  </si>
  <si>
    <t>Emissiefactor aardgas (bovenwaarde)</t>
  </si>
  <si>
    <t>Rendement gasketel (bovenwaarde)</t>
  </si>
  <si>
    <t>%</t>
  </si>
  <si>
    <t>NEN (2015)</t>
  </si>
  <si>
    <t>NEN7125</t>
  </si>
  <si>
    <t>Rendement/COP [-]</t>
  </si>
  <si>
    <t>Bron:</t>
  </si>
  <si>
    <t>Aardgasketel (NL)</t>
  </si>
  <si>
    <t>Biomassa, geen emissie</t>
  </si>
  <si>
    <t>RHDHV (2020)</t>
  </si>
  <si>
    <t>Biomassa, uit VS, pulphout</t>
  </si>
  <si>
    <t xml:space="preserve">Biomassa, uit VS, resthout </t>
  </si>
  <si>
    <t>Bron - eigen invulling</t>
  </si>
  <si>
    <t>Referenties</t>
  </si>
  <si>
    <t>RVO (2019, update 2020). Duurzaamheid van warmte- &amp; koudelevering. Voorstel voor inhoud van de rapportageverplichting onder de Warmtewet. Eindrapport versie 3.</t>
  </si>
  <si>
    <t>NEN (2015). NEN 7125. Energieprestatienorm voor maatregelen op gebiedsniveau (EMG) – Bepalingsmethode.</t>
  </si>
  <si>
    <t xml:space="preserve">NEN (2020). NTA 8800 (nl). Energieprestatie van gebouwen – Bepalingsmethode. </t>
  </si>
  <si>
    <t>Schoots, K. &amp; P. Hammingh (2019), Klimaat- en Energieverkenning 2019, Den Haag: Planbureau voor de Leefomgeving.</t>
  </si>
  <si>
    <t>HaskoningDHV Nederland B.V. (2020). Warmte uit aardgas of biomassa? Referentie: BH1516I&amp;BRP001F01. https://www.nvde.nl/wp-content/uploads/2020/03/BH1576-6-mei_def.pdf</t>
  </si>
  <si>
    <t>NTA8800, gebruikte tabellen:</t>
  </si>
  <si>
    <t>aardgas</t>
  </si>
  <si>
    <t>AVI</t>
  </si>
  <si>
    <t>Restwarmte</t>
  </si>
  <si>
    <t>HaskoningDHV (2020):</t>
  </si>
  <si>
    <t xml:space="preserve">Emissiefactoren </t>
  </si>
  <si>
    <t>Jura/Krijt ouderdom</t>
  </si>
  <si>
    <t>Perm ouderdom</t>
  </si>
  <si>
    <t>Formatie</t>
  </si>
  <si>
    <t>Emissiefactor bijvangst:</t>
  </si>
  <si>
    <t>Gemiddelde bijvangst:</t>
  </si>
  <si>
    <t>Anders (zelf in te vullen)</t>
  </si>
  <si>
    <t>Warmte uit bijvangst</t>
  </si>
  <si>
    <t>Vul hier zelf een emissiefactor in</t>
  </si>
  <si>
    <t>Calorische onderwaarde aardgas</t>
  </si>
  <si>
    <t>Calorische bovenwaarde aardgas</t>
  </si>
  <si>
    <t>Calorische bovenwaarde (HHV) van formatiegas (methaan + andere koolwaterstoffen)</t>
  </si>
  <si>
    <t>Bijlage 1</t>
  </si>
  <si>
    <t>CO2 emissiefactor [kg/GJp]</t>
  </si>
  <si>
    <t xml:space="preserve">De rekenmethodiek uit de huidige warmtewet leidt ertoe dat vanwege de beoogde verduurzaming van de Nederlandse elektriciteitsmix in de toekomst een groter deel van de CO2-emissie wordt toegewezen aan warmte. Zo stijgt de relatieve CO2-uitstoot van een WKK zonder derving. </t>
  </si>
  <si>
    <t>CO2-emissiefactoren brandstof</t>
  </si>
  <si>
    <t>Russisch aardgas 2020</t>
  </si>
  <si>
    <t>Biomassa, uit NL 2020</t>
  </si>
  <si>
    <t>Biomassa, uit VS, pulphout 2020</t>
  </si>
  <si>
    <t>Biomassa, uit VS, resthout 2020</t>
  </si>
  <si>
    <t>In kg CO2-eq/GJ, enkel waarden van 2020 beschikbaar</t>
  </si>
  <si>
    <t>Cpwater</t>
  </si>
  <si>
    <t>J/kg K</t>
  </si>
  <si>
    <t>𝜌water</t>
  </si>
  <si>
    <t>Energie in en uit ketel:</t>
  </si>
  <si>
    <t xml:space="preserve">- bron - </t>
  </si>
  <si>
    <t>Verbrandingswaarde</t>
  </si>
  <si>
    <t>Emissie geothermie bron</t>
  </si>
  <si>
    <t>Bijvangst</t>
  </si>
  <si>
    <t>Bron 1</t>
  </si>
  <si>
    <t>Bron 2</t>
  </si>
  <si>
    <t>Bron 3</t>
  </si>
  <si>
    <t>Bijstook 1</t>
  </si>
  <si>
    <t>Bijstook 2</t>
  </si>
  <si>
    <t>totaal</t>
  </si>
  <si>
    <t>% CO2 emissie in warmtenet:</t>
  </si>
  <si>
    <t>Vollasturen</t>
  </si>
  <si>
    <r>
      <rPr>
        <b/>
        <sz val="11"/>
        <color theme="1"/>
        <rFont val="Calibri"/>
        <family val="2"/>
        <scheme val="minor"/>
      </rPr>
      <t>2</t>
    </r>
    <r>
      <rPr>
        <sz val="11"/>
        <color theme="1"/>
        <rFont val="Calibri"/>
        <family val="2"/>
        <scheme val="minor"/>
      </rPr>
      <t>) COP bronpomp</t>
    </r>
  </si>
  <si>
    <t>Formatiegas</t>
  </si>
  <si>
    <t>vul waarde in</t>
  </si>
  <si>
    <t>Gas/water  ratio</t>
  </si>
  <si>
    <t xml:space="preserve">Emissiefactor </t>
  </si>
  <si>
    <t>-</t>
  </si>
  <si>
    <t>Vermogen</t>
  </si>
  <si>
    <r>
      <t>MW</t>
    </r>
    <r>
      <rPr>
        <vertAlign val="subscript"/>
        <sz val="11"/>
        <color theme="1"/>
        <rFont val="Calibri"/>
        <family val="2"/>
        <scheme val="minor"/>
      </rPr>
      <t>th</t>
    </r>
  </si>
  <si>
    <t>https://www.internetconsultatie.nl/warmtewet2</t>
  </si>
  <si>
    <t>https://www.klimaatakkoord.nl/documenten/publicaties/2019/06/28/klimaatakkoord</t>
  </si>
  <si>
    <t>Gem. COP bronpompen</t>
  </si>
  <si>
    <t>Doelstelling Klimaatakkoord 2030</t>
  </si>
  <si>
    <t>ja</t>
  </si>
  <si>
    <t>nee</t>
  </si>
  <si>
    <t>PBL, TNO, CBS en RIVM (2021), Klimaat- en Energieverkenning 2021. Den Haag: Planbureau voor de Leefomgeving</t>
  </si>
  <si>
    <t>Integrale methode, 2015 &amp; 2020 uit KEV 2019, 2025&amp;2030 uit KEV 2021</t>
  </si>
  <si>
    <t>PBL, TNO, CBS en RIVM (2021)</t>
  </si>
  <si>
    <t>ECN (2018). Primaire fossiele energiefactor elektriciteit op bovenwaarde (HHV) voor toepassing in de energieprestatienorm NTA8800</t>
  </si>
  <si>
    <t xml:space="preserve">°C </t>
  </si>
  <si>
    <t>Retourtemperatuur (zonder WP)</t>
  </si>
  <si>
    <t>COP</t>
  </si>
  <si>
    <t>Uitkoeling</t>
  </si>
  <si>
    <t>Warmte</t>
  </si>
  <si>
    <t>Geowater (WP)</t>
  </si>
  <si>
    <t>Geowater (bronpompen)</t>
  </si>
  <si>
    <t>Geowater (warmtepomp)</t>
  </si>
  <si>
    <t>MWth</t>
  </si>
  <si>
    <t>Emissie warmtepomp</t>
  </si>
  <si>
    <t>Bron (2020):</t>
  </si>
  <si>
    <t xml:space="preserve">Berekening CO2-emissie geothermie in warmtenetwerk </t>
  </si>
  <si>
    <t>weq</t>
  </si>
  <si>
    <t>warmtemonitor</t>
  </si>
  <si>
    <t>GJ/weq</t>
  </si>
  <si>
    <t>Bijstook / pieklast</t>
  </si>
  <si>
    <t>CO2 factor warmtepomp</t>
  </si>
  <si>
    <t>Evt. andere bronnen (basis/schouder last)</t>
  </si>
  <si>
    <t>Geothermiebron (basislast)</t>
  </si>
  <si>
    <t>hulpenergie</t>
  </si>
  <si>
    <t>Aquathermie + WKO + WP 70°C</t>
  </si>
  <si>
    <t>WKO + WP 70°C</t>
  </si>
  <si>
    <t>Restwarmte zonder e-productie</t>
  </si>
  <si>
    <t>WKK (gas) zonder e-derving</t>
  </si>
  <si>
    <t>WKK (biogeen) zonder e-derving</t>
  </si>
  <si>
    <t xml:space="preserve">AVI  </t>
  </si>
  <si>
    <t>WKK (gas) met e-derving (aftapwarmte)</t>
  </si>
  <si>
    <t>Aanvoer warmte in net:</t>
  </si>
  <si>
    <t>Totaal geleverd (incl. verliezen)</t>
  </si>
  <si>
    <t>Totaal aanvoer</t>
  </si>
  <si>
    <t>TJ</t>
  </si>
  <si>
    <t>ton</t>
  </si>
  <si>
    <r>
      <t>TJ</t>
    </r>
    <r>
      <rPr>
        <vertAlign val="subscript"/>
        <sz val="11"/>
        <color theme="1"/>
        <rFont val="Calibri"/>
        <family val="2"/>
        <scheme val="minor"/>
      </rPr>
      <t>prod</t>
    </r>
  </si>
  <si>
    <r>
      <t>kgCO</t>
    </r>
    <r>
      <rPr>
        <vertAlign val="subscript"/>
        <sz val="11"/>
        <rFont val="Calibri"/>
        <family val="2"/>
        <scheme val="minor"/>
      </rPr>
      <t>2</t>
    </r>
    <r>
      <rPr>
        <sz val="11"/>
        <rFont val="Calibri"/>
        <family val="2"/>
        <scheme val="minor"/>
      </rPr>
      <t>/GJ</t>
    </r>
    <r>
      <rPr>
        <vertAlign val="subscript"/>
        <sz val="11"/>
        <rFont val="Calibri"/>
        <family val="2"/>
        <scheme val="minor"/>
      </rPr>
      <t>p</t>
    </r>
  </si>
  <si>
    <r>
      <t>Nm</t>
    </r>
    <r>
      <rPr>
        <vertAlign val="superscript"/>
        <sz val="11"/>
        <color theme="1"/>
        <rFont val="Calibri"/>
        <family val="2"/>
        <scheme val="minor"/>
      </rPr>
      <t>3</t>
    </r>
    <r>
      <rPr>
        <sz val="11"/>
        <color theme="1"/>
        <rFont val="Calibri"/>
        <family val="2"/>
        <scheme val="minor"/>
      </rPr>
      <t>/m</t>
    </r>
    <r>
      <rPr>
        <vertAlign val="superscript"/>
        <sz val="11"/>
        <color theme="1"/>
        <rFont val="Calibri"/>
        <family val="2"/>
        <scheme val="minor"/>
      </rPr>
      <t>3</t>
    </r>
  </si>
  <si>
    <r>
      <t>GJ/m</t>
    </r>
    <r>
      <rPr>
        <vertAlign val="superscript"/>
        <sz val="11"/>
        <color theme="1"/>
        <rFont val="Calibri"/>
        <family val="2"/>
        <scheme val="minor"/>
      </rPr>
      <t>3</t>
    </r>
  </si>
  <si>
    <r>
      <t>GJ</t>
    </r>
    <r>
      <rPr>
        <vertAlign val="subscript"/>
        <sz val="11"/>
        <color theme="1"/>
        <rFont val="Calibri"/>
        <family val="2"/>
        <scheme val="minor"/>
      </rPr>
      <t>p</t>
    </r>
  </si>
  <si>
    <r>
      <t>GJ</t>
    </r>
    <r>
      <rPr>
        <vertAlign val="subscript"/>
        <sz val="11"/>
        <color theme="1"/>
        <rFont val="Calibri"/>
        <family val="2"/>
        <scheme val="minor"/>
      </rPr>
      <t>th_prod</t>
    </r>
  </si>
  <si>
    <r>
      <t>GJ</t>
    </r>
    <r>
      <rPr>
        <vertAlign val="subscript"/>
        <sz val="11"/>
        <color theme="1"/>
        <rFont val="Calibri"/>
        <family val="2"/>
        <scheme val="minor"/>
      </rPr>
      <t>e</t>
    </r>
    <r>
      <rPr>
        <sz val="11"/>
        <color theme="1"/>
        <rFont val="Calibri"/>
        <family val="2"/>
        <scheme val="minor"/>
      </rPr>
      <t>/jaar</t>
    </r>
  </si>
  <si>
    <r>
      <t>kg/GJ</t>
    </r>
    <r>
      <rPr>
        <vertAlign val="subscript"/>
        <sz val="11"/>
        <color theme="1"/>
        <rFont val="Calibri"/>
        <family val="2"/>
        <scheme val="minor"/>
      </rPr>
      <t>p</t>
    </r>
  </si>
  <si>
    <r>
      <t>kg/GJ</t>
    </r>
    <r>
      <rPr>
        <vertAlign val="subscript"/>
        <sz val="11"/>
        <color theme="1"/>
        <rFont val="Calibri"/>
        <family val="2"/>
        <scheme val="minor"/>
      </rPr>
      <t>th</t>
    </r>
  </si>
  <si>
    <r>
      <t>kg/GJ</t>
    </r>
    <r>
      <rPr>
        <vertAlign val="subscript"/>
        <sz val="11"/>
        <color theme="1"/>
        <rFont val="Calibri"/>
        <family val="2"/>
        <scheme val="minor"/>
      </rPr>
      <t>e</t>
    </r>
  </si>
  <si>
    <r>
      <t>kg/m</t>
    </r>
    <r>
      <rPr>
        <vertAlign val="superscript"/>
        <sz val="11"/>
        <color theme="1"/>
        <rFont val="Calibri"/>
        <family val="2"/>
        <scheme val="minor"/>
      </rPr>
      <t>3</t>
    </r>
  </si>
  <si>
    <r>
      <t>MJ/m</t>
    </r>
    <r>
      <rPr>
        <vertAlign val="superscript"/>
        <sz val="11"/>
        <color theme="1"/>
        <rFont val="Calibri"/>
        <family val="2"/>
        <scheme val="minor"/>
      </rPr>
      <t>3</t>
    </r>
    <r>
      <rPr>
        <sz val="11"/>
        <color theme="1"/>
        <rFont val="Calibri"/>
        <family val="2"/>
        <scheme val="minor"/>
      </rPr>
      <t xml:space="preserve"> =</t>
    </r>
  </si>
  <si>
    <r>
      <t>Elektricteitsverbruik (</t>
    </r>
    <r>
      <rPr>
        <b/>
        <sz val="11"/>
        <color theme="1"/>
        <rFont val="Calibri"/>
        <family val="2"/>
        <scheme val="minor"/>
      </rPr>
      <t>1</t>
    </r>
    <r>
      <rPr>
        <sz val="11"/>
        <color theme="1"/>
        <rFont val="Calibri"/>
        <family val="2"/>
        <scheme val="minor"/>
      </rPr>
      <t xml:space="preserve"> of</t>
    </r>
    <r>
      <rPr>
        <b/>
        <sz val="11"/>
        <color theme="1"/>
        <rFont val="Calibri"/>
        <family val="2"/>
        <scheme val="minor"/>
      </rPr>
      <t xml:space="preserve"> 2</t>
    </r>
    <r>
      <rPr>
        <sz val="11"/>
        <color theme="1"/>
        <rFont val="Calibri"/>
        <family val="2"/>
        <scheme val="minor"/>
      </rPr>
      <t xml:space="preserve"> invullen):</t>
    </r>
  </si>
  <si>
    <t>Doelstellingen Warmtewet</t>
  </si>
  <si>
    <r>
      <t>GJ</t>
    </r>
    <r>
      <rPr>
        <vertAlign val="subscript"/>
        <sz val="11"/>
        <color theme="1"/>
        <rFont val="Calibri"/>
        <family val="2"/>
        <scheme val="minor"/>
      </rPr>
      <t>th</t>
    </r>
  </si>
  <si>
    <t>incl. warmteverliezen</t>
  </si>
  <si>
    <t>excl. warmteverliezen</t>
  </si>
  <si>
    <r>
      <t>TJ</t>
    </r>
    <r>
      <rPr>
        <vertAlign val="subscript"/>
        <sz val="11"/>
        <color theme="1"/>
        <rFont val="Calibri"/>
        <family val="2"/>
        <scheme val="minor"/>
      </rPr>
      <t>geleverd</t>
    </r>
  </si>
  <si>
    <t>Berekening warmtevraag en -levering:</t>
  </si>
  <si>
    <t>Woningequivalenten</t>
  </si>
  <si>
    <t>Energieverbruik/weq</t>
  </si>
  <si>
    <t>Geleverd bij eindgebruiker</t>
  </si>
  <si>
    <t>Aandeel in warmtevraag (%)</t>
  </si>
  <si>
    <t>Bijvangst (ja/nee)</t>
  </si>
  <si>
    <t>Warmtevraag</t>
  </si>
  <si>
    <t>Benodigde warmtelevering</t>
  </si>
  <si>
    <t>Totale warmtevraag (%)</t>
  </si>
  <si>
    <t>Max. debiet</t>
  </si>
  <si>
    <t>Jaarlijkse energieproductie</t>
  </si>
  <si>
    <r>
      <t>CO</t>
    </r>
    <r>
      <rPr>
        <vertAlign val="subscript"/>
        <sz val="11"/>
        <color theme="1"/>
        <rFont val="Calibri"/>
        <family val="2"/>
        <scheme val="minor"/>
      </rPr>
      <t>2</t>
    </r>
    <r>
      <rPr>
        <sz val="11"/>
        <color theme="1"/>
        <rFont val="Calibri"/>
        <family val="2"/>
        <scheme val="minor"/>
      </rPr>
      <t>-emissie:</t>
    </r>
  </si>
  <si>
    <r>
      <t>CO</t>
    </r>
    <r>
      <rPr>
        <vertAlign val="subscript"/>
        <sz val="11"/>
        <color theme="1"/>
        <rFont val="Calibri"/>
        <family val="2"/>
        <scheme val="minor"/>
      </rPr>
      <t>2</t>
    </r>
    <r>
      <rPr>
        <sz val="11"/>
        <color theme="1"/>
        <rFont val="Calibri"/>
        <family val="2"/>
        <scheme val="minor"/>
      </rPr>
      <t>-factor:</t>
    </r>
  </si>
  <si>
    <t xml:space="preserve">Zijlema (2020). Berekening van de standaard CO2-emissiefactor aardgas t.b.v. nationale monitoring 2021 en emissiehandel 2021 Van: https://www.rvo.nl/sites/default/files/2021/05/Berekening%20van%20de%20standaard%20CO2-emissiefactor%20aardgas%202021_0.pdf </t>
  </si>
  <si>
    <t>Aardgas uit Nederland betekend het gemiddelde van 111 gas velden in NL en het geimporteerde gas uit Belgie. 2021: 56.4 kg/GJ op onderwaarde en 50.8 kg/GJ op bovenwaarde</t>
  </si>
  <si>
    <t>Dinkelman et al. (2021). Factsheet duurzaamheid geothermie.</t>
  </si>
  <si>
    <t>Dinkelman et al. (2021)</t>
  </si>
  <si>
    <t>Bijvangst (formatiegas)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</si>
</sst>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
  </numFmts>
  <fonts count="27" x14ac:knownFonts="1">
    <font>
      <sz val="11"/>
      <color theme="1"/>
      <name val="Calibri"/>
      <family val="2"/>
      <scheme val="minor"/>
    </font>
    <font>
      <sz val="11"/>
      <color theme="1"/>
      <name val="Calibri"/>
      <family val="2"/>
      <scheme val="minor"/>
    </font>
    <font>
      <sz val="11"/>
      <color rgb="FF3F3F76"/>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sz val="11"/>
      <name val="Calibri"/>
      <family val="2"/>
      <scheme val="minor"/>
    </font>
    <font>
      <sz val="11"/>
      <name val="Calibri"/>
      <family val="2"/>
      <scheme val="minor"/>
    </font>
    <font>
      <b/>
      <i/>
      <sz val="11"/>
      <color theme="1"/>
      <name val="Calibri"/>
      <family val="2"/>
      <scheme val="minor"/>
    </font>
    <font>
      <vertAlign val="subscript"/>
      <sz val="11"/>
      <color theme="1"/>
      <name val="Calibri"/>
      <family val="2"/>
      <scheme val="minor"/>
    </font>
    <font>
      <vertAlign val="superscript"/>
      <sz val="11"/>
      <color theme="1"/>
      <name val="Calibri"/>
      <family val="2"/>
      <scheme val="minor"/>
    </font>
    <font>
      <sz val="11"/>
      <color theme="1"/>
      <name val="Calibri"/>
      <family val="2"/>
    </font>
    <font>
      <sz val="12.1"/>
      <color theme="1"/>
      <name val="Calibri"/>
      <family val="2"/>
    </font>
    <font>
      <sz val="8"/>
      <name val="Calibri"/>
      <family val="2"/>
      <scheme val="minor"/>
    </font>
    <font>
      <i/>
      <sz val="11"/>
      <name val="Calibri"/>
      <family val="2"/>
      <scheme val="minor"/>
    </font>
    <font>
      <b/>
      <sz val="12"/>
      <color theme="1"/>
      <name val="Calibri"/>
      <family val="2"/>
      <scheme val="minor"/>
    </font>
    <font>
      <b/>
      <sz val="16"/>
      <color theme="1"/>
      <name val="Calibri"/>
      <family val="2"/>
      <scheme val="minor"/>
    </font>
    <font>
      <b/>
      <sz val="20"/>
      <color theme="1"/>
      <name val="Calibri"/>
      <family val="2"/>
      <scheme val="minor"/>
    </font>
    <font>
      <b/>
      <i/>
      <sz val="14"/>
      <color theme="1"/>
      <name val="Calibri"/>
      <family val="2"/>
      <scheme val="minor"/>
    </font>
    <font>
      <b/>
      <sz val="22"/>
      <color theme="1"/>
      <name val="Calibri"/>
      <family val="2"/>
      <scheme val="minor"/>
    </font>
    <font>
      <i/>
      <sz val="11"/>
      <color rgb="FF000000"/>
      <name val="Calibri"/>
      <family val="2"/>
      <scheme val="minor"/>
    </font>
    <font>
      <sz val="11"/>
      <color theme="0" tint="-0.34998626667073579"/>
      <name val="Calibri"/>
      <family val="2"/>
      <scheme val="minor"/>
    </font>
    <font>
      <sz val="10"/>
      <name val="Arial"/>
      <family val="2"/>
    </font>
    <font>
      <sz val="16"/>
      <color rgb="FFFF0000"/>
      <name val="Calibri"/>
      <family val="2"/>
      <scheme val="minor"/>
    </font>
    <font>
      <u/>
      <sz val="11"/>
      <color theme="10"/>
      <name val="Calibri"/>
      <family val="2"/>
      <scheme val="minor"/>
    </font>
    <font>
      <vertAlign val="subscript"/>
      <sz val="11"/>
      <name val="Calibri"/>
      <family val="2"/>
      <scheme val="minor"/>
    </font>
    <font>
      <b/>
      <sz val="14"/>
      <color rgb="FFFF0000"/>
      <name val="Calibri"/>
      <family val="2"/>
      <scheme val="minor"/>
    </font>
  </fonts>
  <fills count="10">
    <fill>
      <patternFill patternType="none"/>
    </fill>
    <fill>
      <patternFill patternType="gray125"/>
    </fill>
    <fill>
      <patternFill patternType="solid">
        <fgColor rgb="FFFFCC99"/>
      </patternFill>
    </fill>
    <fill>
      <patternFill patternType="solid">
        <fgColor theme="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s>
  <borders count="21">
    <border>
      <left/>
      <right/>
      <top/>
      <bottom/>
      <diagonal/>
    </border>
    <border>
      <left style="thin">
        <color rgb="FF7F7F7F"/>
      </left>
      <right style="thin">
        <color rgb="FF7F7F7F"/>
      </right>
      <top style="thin">
        <color rgb="FF7F7F7F"/>
      </top>
      <bottom style="thin">
        <color rgb="FF7F7F7F"/>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4">
    <xf numFmtId="0" fontId="0" fillId="0" borderId="0"/>
    <xf numFmtId="9" fontId="1" fillId="0" borderId="0" applyFont="0" applyFill="0" applyBorder="0" applyAlignment="0" applyProtection="0"/>
    <xf numFmtId="0" fontId="2" fillId="2" borderId="1" applyNumberFormat="0" applyAlignment="0" applyProtection="0"/>
    <xf numFmtId="0" fontId="24" fillId="0" borderId="0" applyNumberFormat="0" applyFill="0" applyBorder="0" applyAlignment="0" applyProtection="0"/>
  </cellStyleXfs>
  <cellXfs count="210">
    <xf numFmtId="0" fontId="0" fillId="0" borderId="0" xfId="0"/>
    <xf numFmtId="0" fontId="0" fillId="3" borderId="0" xfId="0" applyFill="1"/>
    <xf numFmtId="0" fontId="5" fillId="3" borderId="0" xfId="0" applyFont="1" applyFill="1"/>
    <xf numFmtId="0" fontId="4" fillId="3" borderId="0" xfId="0" applyFont="1" applyFill="1"/>
    <xf numFmtId="0" fontId="0" fillId="3" borderId="0" xfId="0" applyFill="1" applyAlignment="1">
      <alignment horizontal="left" indent="1"/>
    </xf>
    <xf numFmtId="164" fontId="0" fillId="3" borderId="0" xfId="0" applyNumberFormat="1" applyFill="1"/>
    <xf numFmtId="0" fontId="8" fillId="3" borderId="0" xfId="0" applyFont="1" applyFill="1"/>
    <xf numFmtId="2" fontId="0" fillId="3" borderId="0" xfId="0" applyNumberFormat="1" applyFill="1"/>
    <xf numFmtId="0" fontId="0" fillId="3" borderId="0" xfId="1" applyNumberFormat="1" applyFont="1" applyFill="1" applyBorder="1"/>
    <xf numFmtId="0" fontId="7" fillId="3" borderId="0" xfId="0" applyFont="1" applyFill="1"/>
    <xf numFmtId="0" fontId="14" fillId="3" borderId="0" xfId="0" applyFont="1" applyFill="1"/>
    <xf numFmtId="0" fontId="0" fillId="3" borderId="0" xfId="1" applyNumberFormat="1" applyFont="1" applyFill="1"/>
    <xf numFmtId="164" fontId="0" fillId="3" borderId="0" xfId="0" applyNumberFormat="1" applyFill="1" applyAlignment="1">
      <alignment horizontal="right"/>
    </xf>
    <xf numFmtId="0" fontId="3" fillId="3" borderId="0" xfId="0" applyFont="1" applyFill="1"/>
    <xf numFmtId="0" fontId="8" fillId="3" borderId="7" xfId="0" applyFont="1" applyFill="1" applyBorder="1"/>
    <xf numFmtId="0" fontId="0" fillId="3" borderId="7" xfId="0" applyFill="1" applyBorder="1"/>
    <xf numFmtId="0" fontId="0" fillId="3" borderId="7" xfId="1" applyNumberFormat="1" applyFont="1" applyFill="1" applyBorder="1"/>
    <xf numFmtId="0" fontId="0" fillId="3" borderId="7" xfId="0" applyFill="1" applyBorder="1" applyAlignment="1">
      <alignment horizontal="left" indent="1"/>
    </xf>
    <xf numFmtId="0" fontId="5" fillId="3" borderId="7" xfId="0" applyFont="1" applyFill="1" applyBorder="1"/>
    <xf numFmtId="0" fontId="0" fillId="3" borderId="5" xfId="0" applyFill="1" applyBorder="1" applyAlignment="1">
      <alignment horizontal="right" indent="1"/>
    </xf>
    <xf numFmtId="0" fontId="0" fillId="3" borderId="4" xfId="0" applyFill="1" applyBorder="1"/>
    <xf numFmtId="0" fontId="0" fillId="3" borderId="6" xfId="0" applyFill="1" applyBorder="1"/>
    <xf numFmtId="0" fontId="0" fillId="3" borderId="3" xfId="0" applyFill="1" applyBorder="1" applyAlignment="1">
      <alignment horizontal="right" indent="1"/>
    </xf>
    <xf numFmtId="0" fontId="4" fillId="3" borderId="4" xfId="0" applyFont="1" applyFill="1" applyBorder="1" applyAlignment="1">
      <alignment horizontal="right" indent="1"/>
    </xf>
    <xf numFmtId="0" fontId="4" fillId="3" borderId="6" xfId="0" applyFont="1" applyFill="1" applyBorder="1" applyAlignment="1">
      <alignment horizontal="right" indent="1"/>
    </xf>
    <xf numFmtId="0" fontId="4" fillId="3" borderId="2" xfId="0" applyFont="1" applyFill="1" applyBorder="1" applyAlignment="1">
      <alignment horizontal="right" indent="1"/>
    </xf>
    <xf numFmtId="0" fontId="0" fillId="3" borderId="0" xfId="0" applyFill="1" applyAlignment="1">
      <alignment horizontal="right" indent="1"/>
    </xf>
    <xf numFmtId="0" fontId="0" fillId="3" borderId="8" xfId="0" applyFill="1" applyBorder="1"/>
    <xf numFmtId="0" fontId="0" fillId="3" borderId="9" xfId="0" applyFill="1" applyBorder="1"/>
    <xf numFmtId="0" fontId="0" fillId="3" borderId="10" xfId="0" applyFill="1" applyBorder="1"/>
    <xf numFmtId="0" fontId="4" fillId="3" borderId="7" xfId="0" applyFont="1" applyFill="1" applyBorder="1"/>
    <xf numFmtId="0" fontId="0" fillId="3" borderId="11" xfId="0" applyFill="1" applyBorder="1" applyAlignment="1">
      <alignment horizontal="left" indent="2"/>
    </xf>
    <xf numFmtId="0" fontId="4" fillId="3" borderId="14" xfId="0" applyFont="1" applyFill="1" applyBorder="1"/>
    <xf numFmtId="9" fontId="0" fillId="3" borderId="0" xfId="1" applyFont="1" applyFill="1" applyAlignment="1">
      <alignment horizontal="right"/>
    </xf>
    <xf numFmtId="0" fontId="0" fillId="3" borderId="0" xfId="0" applyFill="1" applyAlignment="1">
      <alignment horizontal="left" indent="2"/>
    </xf>
    <xf numFmtId="0" fontId="6" fillId="3" borderId="0" xfId="0" applyFont="1" applyFill="1" applyAlignment="1">
      <alignment horizontal="left"/>
    </xf>
    <xf numFmtId="0" fontId="7" fillId="3" borderId="0" xfId="0" applyFont="1" applyFill="1" applyAlignment="1">
      <alignment horizontal="left" indent="1"/>
    </xf>
    <xf numFmtId="0" fontId="0" fillId="3" borderId="12" xfId="0" applyFill="1" applyBorder="1"/>
    <xf numFmtId="0" fontId="0" fillId="3" borderId="11" xfId="0" applyFill="1" applyBorder="1"/>
    <xf numFmtId="0" fontId="0" fillId="3" borderId="14" xfId="0" applyFill="1" applyBorder="1"/>
    <xf numFmtId="0" fontId="0" fillId="3" borderId="11" xfId="0" applyFill="1" applyBorder="1" applyAlignment="1">
      <alignment horizontal="left" indent="3"/>
    </xf>
    <xf numFmtId="0" fontId="4" fillId="3" borderId="16" xfId="0" applyFont="1" applyFill="1" applyBorder="1" applyAlignment="1">
      <alignment horizontal="left" indent="1"/>
    </xf>
    <xf numFmtId="0" fontId="4" fillId="3" borderId="11" xfId="0" applyFont="1" applyFill="1" applyBorder="1" applyAlignment="1">
      <alignment horizontal="left" indent="1"/>
    </xf>
    <xf numFmtId="0" fontId="4" fillId="3" borderId="13" xfId="0" applyFont="1" applyFill="1" applyBorder="1" applyAlignment="1">
      <alignment horizontal="left" indent="1"/>
    </xf>
    <xf numFmtId="164" fontId="0" fillId="3" borderId="12" xfId="0" applyNumberFormat="1" applyFill="1" applyBorder="1" applyAlignment="1">
      <alignment horizontal="right" indent="1"/>
    </xf>
    <xf numFmtId="0" fontId="17" fillId="3" borderId="0" xfId="0" applyFont="1" applyFill="1"/>
    <xf numFmtId="0" fontId="18" fillId="3" borderId="7" xfId="0" applyFont="1" applyFill="1" applyBorder="1"/>
    <xf numFmtId="0" fontId="0" fillId="8" borderId="11" xfId="0" applyFill="1" applyBorder="1" applyAlignment="1">
      <alignment horizontal="right"/>
    </xf>
    <xf numFmtId="0" fontId="19" fillId="3" borderId="0" xfId="0" applyFont="1" applyFill="1"/>
    <xf numFmtId="0" fontId="4" fillId="3" borderId="7" xfId="0" applyFont="1" applyFill="1" applyBorder="1" applyAlignment="1">
      <alignment horizontal="right"/>
    </xf>
    <xf numFmtId="1" fontId="4" fillId="3" borderId="7" xfId="0" applyNumberFormat="1" applyFont="1" applyFill="1" applyBorder="1" applyAlignment="1">
      <alignment horizontal="right"/>
    </xf>
    <xf numFmtId="1" fontId="4" fillId="3" borderId="17" xfId="0" applyNumberFormat="1" applyFont="1" applyFill="1" applyBorder="1" applyAlignment="1">
      <alignment horizontal="right"/>
    </xf>
    <xf numFmtId="0" fontId="4" fillId="3" borderId="17" xfId="0" applyFont="1" applyFill="1" applyBorder="1" applyAlignment="1">
      <alignment horizontal="right"/>
    </xf>
    <xf numFmtId="0" fontId="18" fillId="3" borderId="0" xfId="0" applyFont="1" applyFill="1"/>
    <xf numFmtId="0" fontId="0" fillId="3" borderId="0" xfId="0" applyFill="1" applyAlignment="1">
      <alignment horizontal="right"/>
    </xf>
    <xf numFmtId="1" fontId="0" fillId="3" borderId="12" xfId="0" applyNumberFormat="1" applyFill="1" applyBorder="1"/>
    <xf numFmtId="0" fontId="0" fillId="3" borderId="0" xfId="0" applyFill="1" applyBorder="1"/>
    <xf numFmtId="0" fontId="0" fillId="8" borderId="0" xfId="0" applyFill="1" applyBorder="1" applyAlignment="1">
      <alignment horizontal="left"/>
    </xf>
    <xf numFmtId="0" fontId="0" fillId="8" borderId="0" xfId="0" applyFill="1" applyBorder="1"/>
    <xf numFmtId="0" fontId="15" fillId="8" borderId="0" xfId="0" applyFont="1" applyFill="1" applyBorder="1"/>
    <xf numFmtId="0" fontId="4" fillId="3" borderId="0" xfId="0" applyFont="1" applyFill="1" applyBorder="1"/>
    <xf numFmtId="0" fontId="4" fillId="4" borderId="0" xfId="0" applyFont="1" applyFill="1" applyBorder="1"/>
    <xf numFmtId="0" fontId="0" fillId="4" borderId="0" xfId="0" applyFill="1" applyBorder="1"/>
    <xf numFmtId="0" fontId="0" fillId="6" borderId="0" xfId="0" applyFill="1" applyBorder="1"/>
    <xf numFmtId="0" fontId="4" fillId="6" borderId="0" xfId="0" applyFont="1" applyFill="1" applyBorder="1"/>
    <xf numFmtId="0" fontId="4" fillId="7" borderId="0" xfId="0" applyFont="1" applyFill="1" applyBorder="1"/>
    <xf numFmtId="0" fontId="0" fillId="7" borderId="0" xfId="0" applyFill="1" applyBorder="1"/>
    <xf numFmtId="0" fontId="0" fillId="8" borderId="0" xfId="0" applyFill="1" applyBorder="1" applyAlignment="1">
      <alignment horizontal="right"/>
    </xf>
    <xf numFmtId="0" fontId="5" fillId="6" borderId="0" xfId="0" applyFont="1" applyFill="1" applyBorder="1"/>
    <xf numFmtId="0" fontId="5" fillId="3" borderId="0" xfId="0" applyFont="1" applyFill="1" applyBorder="1"/>
    <xf numFmtId="164" fontId="0" fillId="3" borderId="0" xfId="0" applyNumberFormat="1" applyFill="1" applyBorder="1"/>
    <xf numFmtId="0" fontId="11" fillId="8" borderId="0" xfId="0" applyFont="1" applyFill="1" applyBorder="1"/>
    <xf numFmtId="0" fontId="11" fillId="3" borderId="0" xfId="0" applyFont="1" applyFill="1" applyBorder="1"/>
    <xf numFmtId="1" fontId="0" fillId="3" borderId="0" xfId="0" applyNumberFormat="1" applyFill="1" applyBorder="1"/>
    <xf numFmtId="164" fontId="0" fillId="3" borderId="0" xfId="0" applyNumberFormat="1" applyFill="1" applyBorder="1" applyAlignment="1">
      <alignment horizontal="right" indent="1"/>
    </xf>
    <xf numFmtId="164" fontId="0" fillId="3" borderId="0" xfId="0" applyNumberFormat="1" applyFill="1" applyBorder="1" applyAlignment="1">
      <alignment horizontal="fill"/>
    </xf>
    <xf numFmtId="0" fontId="0" fillId="8" borderId="0" xfId="0" applyFill="1" applyBorder="1" applyAlignment="1">
      <alignment horizontal="center"/>
    </xf>
    <xf numFmtId="0" fontId="0" fillId="3" borderId="0" xfId="0" applyFill="1" applyBorder="1" applyAlignment="1">
      <alignment horizontal="center"/>
    </xf>
    <xf numFmtId="0" fontId="0" fillId="4" borderId="0" xfId="0" applyFill="1" applyBorder="1" applyAlignment="1">
      <alignment horizontal="center"/>
    </xf>
    <xf numFmtId="9" fontId="2" fillId="4" borderId="0" xfId="2" applyNumberFormat="1" applyFill="1" applyBorder="1" applyAlignment="1">
      <alignment horizontal="center"/>
    </xf>
    <xf numFmtId="9" fontId="2" fillId="3" borderId="0" xfId="2" applyNumberFormat="1" applyFill="1" applyBorder="1" applyAlignment="1">
      <alignment horizontal="center"/>
    </xf>
    <xf numFmtId="0" fontId="0" fillId="6" borderId="0" xfId="0" applyFill="1" applyBorder="1" applyAlignment="1">
      <alignment horizontal="center"/>
    </xf>
    <xf numFmtId="0" fontId="0" fillId="7" borderId="0" xfId="0" applyFill="1" applyBorder="1" applyAlignment="1">
      <alignment horizontal="center"/>
    </xf>
    <xf numFmtId="9" fontId="2" fillId="2" borderId="1" xfId="2" applyNumberFormat="1" applyBorder="1" applyAlignment="1" applyProtection="1">
      <alignment horizontal="center"/>
      <protection locked="0"/>
    </xf>
    <xf numFmtId="0" fontId="2" fillId="2" borderId="1" xfId="2" applyBorder="1" applyProtection="1">
      <protection locked="0"/>
    </xf>
    <xf numFmtId="0" fontId="2" fillId="2" borderId="1" xfId="2" applyBorder="1" applyAlignment="1" applyProtection="1">
      <alignment horizontal="center" vertical="center"/>
      <protection locked="0"/>
    </xf>
    <xf numFmtId="0" fontId="2" fillId="2" borderId="1" xfId="2" applyBorder="1" applyAlignment="1" applyProtection="1">
      <alignment horizontal="left" vertical="top" wrapText="1"/>
      <protection locked="0"/>
    </xf>
    <xf numFmtId="0" fontId="0" fillId="3" borderId="18" xfId="0" applyFill="1" applyBorder="1"/>
    <xf numFmtId="0" fontId="0" fillId="3" borderId="0" xfId="0" applyFill="1" applyBorder="1" applyAlignment="1">
      <alignment horizontal="right" indent="1"/>
    </xf>
    <xf numFmtId="0" fontId="0" fillId="3" borderId="18" xfId="0" applyFill="1" applyBorder="1" applyAlignment="1">
      <alignment horizontal="right" indent="1"/>
    </xf>
    <xf numFmtId="0" fontId="0" fillId="8" borderId="19" xfId="0" applyFill="1" applyBorder="1" applyAlignment="1">
      <alignment horizontal="center"/>
    </xf>
    <xf numFmtId="0" fontId="3" fillId="3" borderId="0" xfId="0" applyFont="1" applyFill="1" applyBorder="1"/>
    <xf numFmtId="164" fontId="0" fillId="3" borderId="18" xfId="0" applyNumberFormat="1" applyFill="1" applyBorder="1"/>
    <xf numFmtId="0" fontId="16" fillId="6" borderId="0" xfId="0" applyFont="1" applyFill="1" applyBorder="1" applyAlignment="1">
      <alignment horizontal="center"/>
    </xf>
    <xf numFmtId="0" fontId="16" fillId="3" borderId="0" xfId="0" applyFont="1" applyFill="1" applyBorder="1" applyAlignment="1">
      <alignment horizontal="center"/>
    </xf>
    <xf numFmtId="0" fontId="16" fillId="7" borderId="0" xfId="0" applyFont="1" applyFill="1" applyBorder="1" applyAlignment="1">
      <alignment horizontal="center"/>
    </xf>
    <xf numFmtId="0" fontId="0" fillId="8" borderId="3" xfId="0" applyFill="1" applyBorder="1" applyAlignment="1">
      <alignment horizontal="center"/>
    </xf>
    <xf numFmtId="0" fontId="0" fillId="8" borderId="3" xfId="0" applyFill="1" applyBorder="1"/>
    <xf numFmtId="0" fontId="11" fillId="8" borderId="3" xfId="0" applyFont="1" applyFill="1" applyBorder="1"/>
    <xf numFmtId="0" fontId="4" fillId="8" borderId="0" xfId="0" applyFont="1" applyFill="1" applyBorder="1"/>
    <xf numFmtId="0" fontId="7" fillId="8" borderId="0" xfId="0" applyFont="1" applyFill="1" applyBorder="1" applyAlignment="1">
      <alignment horizontal="left"/>
    </xf>
    <xf numFmtId="165" fontId="0" fillId="3" borderId="0" xfId="0" applyNumberFormat="1" applyFill="1"/>
    <xf numFmtId="0" fontId="20" fillId="0" borderId="0" xfId="0" applyFont="1"/>
    <xf numFmtId="0" fontId="4" fillId="3" borderId="0" xfId="0" applyFont="1" applyFill="1" applyBorder="1" applyAlignment="1">
      <alignment horizontal="right" indent="1"/>
    </xf>
    <xf numFmtId="164" fontId="0" fillId="3" borderId="18" xfId="0" applyNumberFormat="1" applyFill="1" applyBorder="1" applyAlignment="1">
      <alignment horizontal="right" indent="1"/>
    </xf>
    <xf numFmtId="0" fontId="4" fillId="3" borderId="20" xfId="0" applyFont="1" applyFill="1" applyBorder="1" applyAlignment="1">
      <alignment horizontal="right" indent="1"/>
    </xf>
    <xf numFmtId="0" fontId="0" fillId="3" borderId="18" xfId="0" applyFill="1" applyBorder="1" applyAlignment="1">
      <alignment horizontal="right" indent="2"/>
    </xf>
    <xf numFmtId="9" fontId="0" fillId="3" borderId="0" xfId="1" applyFont="1" applyFill="1" applyBorder="1"/>
    <xf numFmtId="164" fontId="21" fillId="3" borderId="18" xfId="0" applyNumberFormat="1" applyFont="1" applyFill="1" applyBorder="1"/>
    <xf numFmtId="0" fontId="22" fillId="0" borderId="0" xfId="0" applyFont="1" applyFill="1"/>
    <xf numFmtId="0" fontId="22" fillId="0" borderId="0" xfId="0" applyFont="1" applyFill="1" applyAlignment="1">
      <alignment horizontal="center"/>
    </xf>
    <xf numFmtId="0" fontId="0" fillId="8" borderId="3" xfId="0" applyFill="1" applyBorder="1" applyAlignment="1">
      <alignment horizontal="left"/>
    </xf>
    <xf numFmtId="0" fontId="4" fillId="3" borderId="18" xfId="0" applyFont="1" applyFill="1" applyBorder="1" applyAlignment="1">
      <alignment horizontal="right" indent="1"/>
    </xf>
    <xf numFmtId="0" fontId="0" fillId="3" borderId="0" xfId="0" quotePrefix="1" applyFill="1"/>
    <xf numFmtId="0" fontId="22" fillId="3" borderId="0" xfId="1" applyNumberFormat="1" applyFont="1" applyFill="1" applyBorder="1" applyAlignment="1">
      <alignment horizontal="center"/>
    </xf>
    <xf numFmtId="1" fontId="0" fillId="3" borderId="0" xfId="0" applyNumberFormat="1" applyFill="1"/>
    <xf numFmtId="9" fontId="0" fillId="3" borderId="0" xfId="0" applyNumberFormat="1" applyFill="1"/>
    <xf numFmtId="9" fontId="0" fillId="3" borderId="0" xfId="0" applyNumberFormat="1" applyFill="1" applyBorder="1"/>
    <xf numFmtId="0" fontId="0" fillId="3" borderId="0" xfId="0" applyFill="1" applyBorder="1" applyAlignment="1">
      <alignment horizontal="right"/>
    </xf>
    <xf numFmtId="0" fontId="23" fillId="3" borderId="0" xfId="0" applyFont="1" applyFill="1" applyBorder="1"/>
    <xf numFmtId="9" fontId="0" fillId="8" borderId="19" xfId="1" applyFont="1" applyFill="1" applyBorder="1" applyAlignment="1">
      <alignment horizontal="center"/>
    </xf>
    <xf numFmtId="0" fontId="0" fillId="3" borderId="0" xfId="1" applyNumberFormat="1" applyFont="1" applyFill="1" applyBorder="1" applyAlignment="1">
      <alignment horizontal="right"/>
    </xf>
    <xf numFmtId="0" fontId="0" fillId="3" borderId="0" xfId="0" quotePrefix="1" applyFill="1" applyBorder="1" applyAlignment="1">
      <alignment horizontal="right" indent="1"/>
    </xf>
    <xf numFmtId="0" fontId="0" fillId="3" borderId="0" xfId="0" quotePrefix="1" applyFill="1" applyBorder="1" applyAlignment="1">
      <alignment horizontal="right"/>
    </xf>
    <xf numFmtId="1" fontId="0" fillId="8" borderId="19" xfId="0" applyNumberFormat="1" applyFill="1" applyBorder="1" applyAlignment="1">
      <alignment horizontal="center"/>
    </xf>
    <xf numFmtId="164" fontId="0" fillId="8" borderId="19" xfId="0" applyNumberFormat="1" applyFill="1" applyBorder="1" applyAlignment="1">
      <alignment horizontal="center"/>
    </xf>
    <xf numFmtId="0" fontId="24" fillId="3" borderId="0" xfId="3" applyFill="1"/>
    <xf numFmtId="1" fontId="0" fillId="3" borderId="3" xfId="0" applyNumberFormat="1" applyFill="1" applyBorder="1" applyAlignment="1">
      <alignment horizontal="right" indent="1"/>
    </xf>
    <xf numFmtId="9" fontId="2" fillId="8" borderId="0" xfId="2" applyNumberFormat="1" applyFill="1" applyBorder="1" applyAlignment="1">
      <alignment horizontal="center"/>
    </xf>
    <xf numFmtId="0" fontId="2" fillId="8" borderId="0" xfId="2" applyFill="1" applyBorder="1"/>
    <xf numFmtId="9" fontId="2" fillId="8" borderId="19" xfId="1" applyFont="1" applyFill="1" applyBorder="1" applyAlignment="1">
      <alignment horizontal="center" vertical="center"/>
    </xf>
    <xf numFmtId="0" fontId="0" fillId="8" borderId="18" xfId="0" applyFill="1" applyBorder="1" applyAlignment="1">
      <alignment horizontal="left"/>
    </xf>
    <xf numFmtId="0" fontId="0" fillId="8" borderId="18" xfId="0" applyFill="1" applyBorder="1"/>
    <xf numFmtId="0" fontId="0" fillId="8" borderId="18" xfId="0" applyFill="1" applyBorder="1" applyAlignment="1">
      <alignment horizontal="center"/>
    </xf>
    <xf numFmtId="0" fontId="0" fillId="8" borderId="18" xfId="0" applyFill="1" applyBorder="1" applyAlignment="1">
      <alignment horizontal="right"/>
    </xf>
    <xf numFmtId="0" fontId="7" fillId="8" borderId="18" xfId="0" applyFont="1" applyFill="1" applyBorder="1" applyAlignment="1">
      <alignment horizontal="left"/>
    </xf>
    <xf numFmtId="0" fontId="4" fillId="8" borderId="0" xfId="0" applyFont="1" applyFill="1" applyBorder="1" applyAlignment="1">
      <alignment horizontal="center"/>
    </xf>
    <xf numFmtId="164" fontId="0" fillId="8" borderId="0" xfId="0" applyNumberFormat="1" applyFill="1" applyBorder="1"/>
    <xf numFmtId="2" fontId="0" fillId="3" borderId="0" xfId="0" applyNumberFormat="1" applyFill="1" applyBorder="1" applyAlignment="1">
      <alignment horizontal="right" indent="1"/>
    </xf>
    <xf numFmtId="2" fontId="0" fillId="3" borderId="12" xfId="0" applyNumberFormat="1" applyFill="1" applyBorder="1" applyAlignment="1">
      <alignment horizontal="right" indent="1"/>
    </xf>
    <xf numFmtId="2" fontId="0" fillId="3" borderId="0" xfId="0" applyNumberFormat="1" applyFill="1" applyBorder="1"/>
    <xf numFmtId="2" fontId="4" fillId="3" borderId="14" xfId="0" applyNumberFormat="1" applyFont="1" applyFill="1" applyBorder="1" applyAlignment="1">
      <alignment horizontal="right" indent="1"/>
    </xf>
    <xf numFmtId="2" fontId="4" fillId="3" borderId="15" xfId="0" applyNumberFormat="1" applyFont="1" applyFill="1" applyBorder="1" applyAlignment="1">
      <alignment horizontal="right" indent="1"/>
    </xf>
    <xf numFmtId="2" fontId="4" fillId="3" borderId="0" xfId="0" applyNumberFormat="1" applyFont="1" applyFill="1" applyBorder="1"/>
    <xf numFmtId="0" fontId="16" fillId="4" borderId="0" xfId="0" applyFont="1" applyFill="1" applyBorder="1" applyAlignment="1">
      <alignment horizontal="center"/>
    </xf>
    <xf numFmtId="0" fontId="16" fillId="8" borderId="0" xfId="0" applyFont="1" applyFill="1" applyBorder="1" applyAlignment="1">
      <alignment horizontal="center"/>
    </xf>
    <xf numFmtId="1" fontId="0" fillId="3" borderId="5" xfId="0" applyNumberFormat="1" applyFill="1" applyBorder="1" applyAlignment="1">
      <alignment horizontal="right" indent="1"/>
    </xf>
    <xf numFmtId="166" fontId="0" fillId="3" borderId="0" xfId="0" applyNumberFormat="1" applyFill="1"/>
    <xf numFmtId="2" fontId="0" fillId="3" borderId="12" xfId="0" applyNumberFormat="1" applyFill="1" applyBorder="1"/>
    <xf numFmtId="2" fontId="4" fillId="3" borderId="12" xfId="0" applyNumberFormat="1" applyFont="1" applyFill="1" applyBorder="1"/>
    <xf numFmtId="0" fontId="0" fillId="3" borderId="0" xfId="0" applyFill="1" applyBorder="1" applyAlignment="1">
      <alignment horizontal="left" indent="1"/>
    </xf>
    <xf numFmtId="0" fontId="0" fillId="3" borderId="11" xfId="0" applyFill="1" applyBorder="1" applyProtection="1"/>
    <xf numFmtId="0" fontId="0" fillId="3" borderId="0" xfId="0" applyFill="1" applyBorder="1" applyAlignment="1" applyProtection="1">
      <alignment horizontal="right"/>
    </xf>
    <xf numFmtId="0" fontId="0" fillId="3" borderId="0" xfId="0" applyFill="1" applyBorder="1" applyProtection="1"/>
    <xf numFmtId="0" fontId="4" fillId="8" borderId="0" xfId="0" applyFont="1" applyFill="1" applyBorder="1" applyAlignment="1" applyProtection="1">
      <alignment horizontal="left"/>
    </xf>
    <xf numFmtId="0" fontId="4" fillId="8" borderId="0" xfId="0" applyFont="1" applyFill="1" applyBorder="1" applyAlignment="1" applyProtection="1">
      <alignment horizontal="right"/>
    </xf>
    <xf numFmtId="0" fontId="4" fillId="3" borderId="0" xfId="0" applyFont="1" applyFill="1" applyBorder="1" applyAlignment="1" applyProtection="1">
      <alignment horizontal="right"/>
    </xf>
    <xf numFmtId="0" fontId="4" fillId="4" borderId="0" xfId="0" applyFont="1" applyFill="1" applyBorder="1" applyAlignment="1" applyProtection="1">
      <alignment horizontal="right"/>
    </xf>
    <xf numFmtId="0" fontId="4" fillId="9" borderId="0" xfId="0" applyFont="1" applyFill="1" applyBorder="1" applyAlignment="1" applyProtection="1">
      <alignment horizontal="right"/>
    </xf>
    <xf numFmtId="0" fontId="4" fillId="7" borderId="0" xfId="0" applyFont="1" applyFill="1" applyBorder="1" applyAlignment="1" applyProtection="1">
      <alignment horizontal="right"/>
    </xf>
    <xf numFmtId="1" fontId="0" fillId="8" borderId="0" xfId="0" applyNumberFormat="1" applyFill="1" applyBorder="1" applyProtection="1"/>
    <xf numFmtId="0" fontId="0" fillId="8" borderId="0" xfId="0" applyFill="1" applyBorder="1" applyProtection="1"/>
    <xf numFmtId="1" fontId="0" fillId="4" borderId="0" xfId="0" applyNumberFormat="1" applyFill="1" applyBorder="1" applyProtection="1"/>
    <xf numFmtId="1" fontId="0" fillId="3" borderId="0" xfId="0" applyNumberFormat="1" applyFill="1" applyBorder="1" applyProtection="1"/>
    <xf numFmtId="1" fontId="0" fillId="9" borderId="0" xfId="0" applyNumberFormat="1" applyFill="1" applyBorder="1" applyProtection="1"/>
    <xf numFmtId="1" fontId="0" fillId="6" borderId="0" xfId="0" applyNumberFormat="1" applyFill="1" applyBorder="1" applyProtection="1"/>
    <xf numFmtId="1" fontId="0" fillId="7" borderId="0" xfId="0" applyNumberFormat="1" applyFill="1" applyBorder="1" applyProtection="1"/>
    <xf numFmtId="0" fontId="0" fillId="7" borderId="0" xfId="0" applyFill="1" applyBorder="1" applyProtection="1"/>
    <xf numFmtId="0" fontId="0" fillId="4" borderId="0" xfId="0" applyFill="1" applyBorder="1" applyProtection="1"/>
    <xf numFmtId="0" fontId="0" fillId="9" borderId="0" xfId="0" applyFill="1" applyBorder="1" applyProtection="1"/>
    <xf numFmtId="164" fontId="0" fillId="9" borderId="0" xfId="0" applyNumberFormat="1" applyFill="1" applyBorder="1" applyProtection="1"/>
    <xf numFmtId="164" fontId="0" fillId="3" borderId="0" xfId="0" applyNumberFormat="1" applyFill="1" applyBorder="1" applyProtection="1"/>
    <xf numFmtId="9" fontId="0" fillId="8" borderId="0" xfId="1" applyFont="1" applyFill="1" applyBorder="1" applyProtection="1"/>
    <xf numFmtId="9" fontId="0" fillId="3" borderId="0" xfId="1" applyFont="1" applyFill="1" applyBorder="1" applyProtection="1"/>
    <xf numFmtId="166" fontId="0" fillId="8" borderId="0" xfId="1" applyNumberFormat="1" applyFont="1" applyFill="1" applyBorder="1" applyProtection="1"/>
    <xf numFmtId="9" fontId="0" fillId="4" borderId="0" xfId="1" applyFont="1" applyFill="1" applyBorder="1" applyProtection="1"/>
    <xf numFmtId="9" fontId="0" fillId="9" borderId="0" xfId="1" applyFont="1" applyFill="1" applyBorder="1" applyProtection="1"/>
    <xf numFmtId="9" fontId="0" fillId="7" borderId="0" xfId="1" applyFont="1" applyFill="1" applyBorder="1" applyProtection="1"/>
    <xf numFmtId="0" fontId="0" fillId="3" borderId="14" xfId="0" applyFill="1" applyBorder="1" applyProtection="1"/>
    <xf numFmtId="2" fontId="0" fillId="3" borderId="14" xfId="0" applyNumberFormat="1" applyFill="1" applyBorder="1" applyProtection="1"/>
    <xf numFmtId="0" fontId="2" fillId="2" borderId="1" xfId="2" applyAlignment="1" applyProtection="1">
      <alignment horizontal="center" vertical="center"/>
      <protection locked="0"/>
    </xf>
    <xf numFmtId="1" fontId="4" fillId="3" borderId="0" xfId="0" applyNumberFormat="1" applyFont="1" applyFill="1" applyBorder="1" applyAlignment="1">
      <alignment horizontal="right"/>
    </xf>
    <xf numFmtId="1" fontId="2" fillId="2" borderId="1" xfId="2" applyNumberFormat="1" applyBorder="1" applyProtection="1">
      <protection locked="0"/>
    </xf>
    <xf numFmtId="1" fontId="0" fillId="8" borderId="0" xfId="0" applyNumberFormat="1" applyFill="1" applyBorder="1"/>
    <xf numFmtId="1" fontId="0" fillId="5" borderId="0" xfId="0" applyNumberFormat="1" applyFill="1" applyBorder="1"/>
    <xf numFmtId="0" fontId="4" fillId="3" borderId="11" xfId="0" applyFont="1" applyFill="1" applyBorder="1" applyAlignment="1" applyProtection="1">
      <alignment horizontal="right"/>
    </xf>
    <xf numFmtId="1" fontId="0" fillId="5" borderId="0" xfId="0" applyNumberFormat="1" applyFill="1" applyBorder="1" applyProtection="1"/>
    <xf numFmtId="9" fontId="0" fillId="3" borderId="11" xfId="1" applyFont="1" applyFill="1" applyBorder="1" applyProtection="1"/>
    <xf numFmtId="164" fontId="0" fillId="7" borderId="0" xfId="0" applyNumberFormat="1" applyFill="1" applyBorder="1" applyProtection="1"/>
    <xf numFmtId="164" fontId="0" fillId="8" borderId="0" xfId="0" applyNumberFormat="1" applyFill="1" applyBorder="1" applyProtection="1"/>
    <xf numFmtId="164" fontId="0" fillId="4" borderId="0" xfId="0" applyNumberFormat="1" applyFill="1" applyBorder="1" applyProtection="1"/>
    <xf numFmtId="0" fontId="0" fillId="3" borderId="13" xfId="0" applyFill="1" applyBorder="1"/>
    <xf numFmtId="164" fontId="0" fillId="3" borderId="15" xfId="0" applyNumberFormat="1" applyFill="1" applyBorder="1" applyProtection="1"/>
    <xf numFmtId="0" fontId="4" fillId="7" borderId="0" xfId="0" applyFont="1" applyFill="1" applyBorder="1" applyAlignment="1" applyProtection="1">
      <alignment horizontal="left"/>
    </xf>
    <xf numFmtId="9" fontId="0" fillId="7" borderId="0" xfId="1" applyFont="1" applyFill="1" applyBorder="1" applyAlignment="1" applyProtection="1">
      <alignment horizontal="center"/>
    </xf>
    <xf numFmtId="0" fontId="0" fillId="8" borderId="0" xfId="0" applyFill="1"/>
    <xf numFmtId="9" fontId="2" fillId="8" borderId="0" xfId="2" applyNumberFormat="1" applyFill="1" applyBorder="1" applyAlignment="1">
      <alignment horizontal="left" indent="4"/>
    </xf>
    <xf numFmtId="0" fontId="2" fillId="2" borderId="1" xfId="2" applyBorder="1" applyAlignment="1" applyProtection="1">
      <alignment horizontal="left" wrapText="1"/>
      <protection locked="0"/>
    </xf>
    <xf numFmtId="1" fontId="0" fillId="8" borderId="0" xfId="0" applyNumberFormat="1" applyFill="1" applyBorder="1" applyAlignment="1">
      <alignment horizontal="center"/>
    </xf>
    <xf numFmtId="1" fontId="0" fillId="3" borderId="0" xfId="0" applyNumberFormat="1" applyFill="1" applyBorder="1" applyAlignment="1">
      <alignment horizontal="center"/>
    </xf>
    <xf numFmtId="9" fontId="7" fillId="8" borderId="19" xfId="2" applyNumberFormat="1" applyFont="1" applyFill="1" applyBorder="1" applyAlignment="1" applyProtection="1">
      <alignment horizontal="center" vertical="center"/>
    </xf>
    <xf numFmtId="0" fontId="0" fillId="9" borderId="0" xfId="0" applyFill="1" applyBorder="1"/>
    <xf numFmtId="9" fontId="7" fillId="8" borderId="0" xfId="1" applyFont="1" applyFill="1" applyBorder="1" applyAlignment="1">
      <alignment horizontal="center" vertical="center"/>
    </xf>
    <xf numFmtId="9" fontId="7" fillId="8" borderId="19" xfId="2" applyNumberFormat="1" applyFont="1" applyFill="1" applyBorder="1" applyAlignment="1">
      <alignment horizontal="left" indent="4"/>
    </xf>
    <xf numFmtId="166" fontId="26" fillId="3" borderId="0" xfId="1" applyNumberFormat="1" applyFont="1" applyFill="1" applyBorder="1"/>
    <xf numFmtId="0" fontId="0" fillId="3" borderId="0" xfId="0" applyFont="1" applyFill="1"/>
    <xf numFmtId="0" fontId="7" fillId="3" borderId="0" xfId="0" applyFont="1" applyFill="1" applyBorder="1" applyAlignment="1">
      <alignment horizontal="right" indent="1"/>
    </xf>
    <xf numFmtId="0" fontId="7" fillId="3" borderId="20" xfId="0" applyFont="1" applyFill="1" applyBorder="1" applyAlignment="1">
      <alignment horizontal="left" indent="1"/>
    </xf>
    <xf numFmtId="0" fontId="7" fillId="3" borderId="18" xfId="0" applyFont="1" applyFill="1" applyBorder="1" applyAlignment="1">
      <alignment horizontal="right" indent="1"/>
    </xf>
    <xf numFmtId="1" fontId="2" fillId="2" borderId="1" xfId="2" applyNumberFormat="1" applyBorder="1" applyAlignment="1" applyProtection="1">
      <alignment horizontal="right"/>
      <protection locked="0"/>
    </xf>
  </cellXfs>
  <cellStyles count="4">
    <cellStyle name="Hyperlink" xfId="3" builtinId="8"/>
    <cellStyle name="Input" xfId="2" builtinId="20"/>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GB" b="1"/>
              <a:t>Emissies warmtenetwerk</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nl-NL"/>
        </a:p>
      </c:txPr>
    </c:title>
    <c:autoTitleDeleted val="0"/>
    <c:plotArea>
      <c:layout/>
      <c:barChart>
        <c:barDir val="col"/>
        <c:grouping val="stacked"/>
        <c:varyColors val="0"/>
        <c:ser>
          <c:idx val="0"/>
          <c:order val="0"/>
          <c:tx>
            <c:strRef>
              <c:f>'CO2-berekening '!$AH$55</c:f>
              <c:strCache>
                <c:ptCount val="1"/>
                <c:pt idx="0">
                  <c:v>Emissie geothermiebron - pompen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'!$AO$55:$AR$55</c:f>
              <c:numCache>
                <c:formatCode>0.00</c:formatCode>
                <c:ptCount val="4"/>
                <c:pt idx="0">
                  <c:v>2.7866666666666671</c:v>
                </c:pt>
                <c:pt idx="1">
                  <c:v>1.950666666666667</c:v>
                </c:pt>
                <c:pt idx="2">
                  <c:v>0.83600000000000008</c:v>
                </c:pt>
                <c:pt idx="3">
                  <c:v>0</c:v>
                </c:pt>
              </c:numCache>
            </c:numRef>
          </c:val>
          <c:extLst>
            <c:ext xmlns:c16="http://schemas.microsoft.com/office/drawing/2014/chart" uri="{C3380CC4-5D6E-409C-BE32-E72D297353CC}">
              <c16:uniqueId val="{00000000-BBB8-4B5E-94B6-BEA4057690EE}"/>
            </c:ext>
          </c:extLst>
        </c:ser>
        <c:ser>
          <c:idx val="2"/>
          <c:order val="1"/>
          <c:tx>
            <c:strRef>
              <c:f>'CO2-berekening '!$AH$57</c:f>
              <c:strCache>
                <c:ptCount val="1"/>
                <c:pt idx="0">
                  <c:v>Emissie warmtepomp</c:v>
                </c:pt>
              </c:strCache>
            </c:strRef>
          </c:tx>
          <c:spPr>
            <a:pattFill prst="openDmnd">
              <a:fgClr>
                <a:schemeClr val="tx1">
                  <a:lumMod val="65000"/>
                  <a:lumOff val="35000"/>
                </a:schemeClr>
              </a:fgClr>
              <a:bgClr>
                <a:schemeClr val="accent6"/>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'!$AO$57:$AR$57</c:f>
              <c:numCache>
                <c:formatCode>0.00</c:formatCode>
                <c:ptCount val="4"/>
                <c:pt idx="0">
                  <c:v>1.1146666666666667</c:v>
                </c:pt>
                <c:pt idx="1">
                  <c:v>0.78026666666666655</c:v>
                </c:pt>
                <c:pt idx="2">
                  <c:v>0.33439999999999998</c:v>
                </c:pt>
                <c:pt idx="3">
                  <c:v>0</c:v>
                </c:pt>
              </c:numCache>
            </c:numRef>
          </c:val>
          <c:extLst>
            <c:ext xmlns:c16="http://schemas.microsoft.com/office/drawing/2014/chart" uri="{C3380CC4-5D6E-409C-BE32-E72D297353CC}">
              <c16:uniqueId val="{0000000A-BBB8-4B5E-94B6-BEA4057690EE}"/>
            </c:ext>
          </c:extLst>
        </c:ser>
        <c:ser>
          <c:idx val="1"/>
          <c:order val="2"/>
          <c:tx>
            <c:strRef>
              <c:f>'CO2-berekening '!$AH$56</c:f>
              <c:strCache>
                <c:ptCount val="1"/>
                <c:pt idx="0">
                  <c:v>Emissie geothermiebron - bijvangst</c:v>
                </c:pt>
              </c:strCache>
            </c:strRef>
          </c:tx>
          <c:spPr>
            <a:pattFill prst="wdUpDiag">
              <a:fgClr>
                <a:schemeClr val="tx2"/>
              </a:fgClr>
              <a:bgClr>
                <a:schemeClr val="accent6"/>
              </a:bgClr>
            </a:patt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'!$AO$56:$AR$56</c:f>
              <c:numCache>
                <c:formatCode>0.00</c:formatCode>
                <c:ptCount val="4"/>
                <c:pt idx="0">
                  <c:v>6.7584</c:v>
                </c:pt>
                <c:pt idx="1">
                  <c:v>6.7584</c:v>
                </c:pt>
                <c:pt idx="2">
                  <c:v>6.7584</c:v>
                </c:pt>
                <c:pt idx="3">
                  <c:v>6.7584</c:v>
                </c:pt>
              </c:numCache>
            </c:numRef>
          </c:val>
          <c:extLst>
            <c:ext xmlns:c16="http://schemas.microsoft.com/office/drawing/2014/chart" uri="{C3380CC4-5D6E-409C-BE32-E72D297353CC}">
              <c16:uniqueId val="{00000009-BBB8-4B5E-94B6-BEA4057690EE}"/>
            </c:ext>
          </c:extLst>
        </c:ser>
        <c:ser>
          <c:idx val="6"/>
          <c:order val="3"/>
          <c:tx>
            <c:strRef>
              <c:f>'CO2-berekening '!$AH$58</c:f>
              <c:strCache>
                <c:ptCount val="1"/>
                <c:pt idx="0">
                  <c:v>Emissie Biomassa, uit NL 2020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'!$AO$58:$AR$58</c:f>
              <c:numCache>
                <c:formatCode>0.00</c:formatCode>
                <c:ptCount val="4"/>
                <c:pt idx="0">
                  <c:v>0</c:v>
                </c:pt>
                <c:pt idx="1">
                  <c:v>0</c:v>
                </c:pt>
                <c:pt idx="2">
                  <c:v>0</c:v>
                </c:pt>
                <c:pt idx="3">
                  <c:v>0</c:v>
                </c:pt>
              </c:numCache>
            </c:numRef>
          </c:val>
          <c:extLst>
            <c:ext xmlns:c16="http://schemas.microsoft.com/office/drawing/2014/chart" uri="{C3380CC4-5D6E-409C-BE32-E72D297353CC}">
              <c16:uniqueId val="{0000000A-5AAE-4384-9190-32DE4C1BD845}"/>
            </c:ext>
          </c:extLst>
        </c:ser>
        <c:ser>
          <c:idx val="7"/>
          <c:order val="4"/>
          <c:tx>
            <c:strRef>
              <c:f>'CO2-berekening '!$AH$59</c:f>
              <c:strCache>
                <c:ptCount val="1"/>
                <c:pt idx="0">
                  <c:v>Emissie AVI  </c:v>
                </c:pt>
              </c:strCache>
            </c:strRef>
          </c:tx>
          <c:spPr>
            <a:solidFill>
              <a:schemeClr val="accent4">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'!$AO$59:$AR$59</c:f>
              <c:numCache>
                <c:formatCode>0.00</c:formatCode>
                <c:ptCount val="4"/>
                <c:pt idx="0">
                  <c:v>0</c:v>
                </c:pt>
                <c:pt idx="1">
                  <c:v>0</c:v>
                </c:pt>
                <c:pt idx="2">
                  <c:v>0</c:v>
                </c:pt>
                <c:pt idx="3">
                  <c:v>0</c:v>
                </c:pt>
              </c:numCache>
            </c:numRef>
          </c:val>
          <c:extLst>
            <c:ext xmlns:c16="http://schemas.microsoft.com/office/drawing/2014/chart" uri="{C3380CC4-5D6E-409C-BE32-E72D297353CC}">
              <c16:uniqueId val="{0000000B-5AAE-4384-9190-32DE4C1BD845}"/>
            </c:ext>
          </c:extLst>
        </c:ser>
        <c:ser>
          <c:idx val="8"/>
          <c:order val="5"/>
          <c:tx>
            <c:strRef>
              <c:f>'CO2-berekening '!$AH$60</c:f>
              <c:strCache>
                <c:ptCount val="1"/>
                <c:pt idx="0">
                  <c:v>Emissie - bron - </c:v>
                </c:pt>
              </c:strCache>
            </c:strRef>
          </c:tx>
          <c:spPr>
            <a:solidFill>
              <a:schemeClr val="accent4">
                <a:lumMod val="20000"/>
                <a:lumOff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'!$AO$60:$AR$60</c:f>
              <c:numCache>
                <c:formatCode>0.00</c:formatCode>
                <c:ptCount val="4"/>
                <c:pt idx="0">
                  <c:v>0</c:v>
                </c:pt>
                <c:pt idx="1">
                  <c:v>0</c:v>
                </c:pt>
                <c:pt idx="2">
                  <c:v>0</c:v>
                </c:pt>
                <c:pt idx="3">
                  <c:v>0</c:v>
                </c:pt>
              </c:numCache>
            </c:numRef>
          </c:val>
          <c:extLst>
            <c:ext xmlns:c16="http://schemas.microsoft.com/office/drawing/2014/chart" uri="{C3380CC4-5D6E-409C-BE32-E72D297353CC}">
              <c16:uniqueId val="{0000000C-5AAE-4384-9190-32DE4C1BD845}"/>
            </c:ext>
          </c:extLst>
        </c:ser>
        <c:ser>
          <c:idx val="3"/>
          <c:order val="6"/>
          <c:tx>
            <c:strRef>
              <c:f>'CO2-berekening '!$AH$61</c:f>
              <c:strCache>
                <c:ptCount val="1"/>
                <c:pt idx="0">
                  <c:v>Emissie bijstook Aardgasketel (NL)</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'!$AO$61:$AR$61</c:f>
              <c:numCache>
                <c:formatCode>0.00</c:formatCode>
                <c:ptCount val="4"/>
                <c:pt idx="0">
                  <c:v>11.4375</c:v>
                </c:pt>
                <c:pt idx="1">
                  <c:v>11.4375</c:v>
                </c:pt>
                <c:pt idx="2">
                  <c:v>11.4375</c:v>
                </c:pt>
                <c:pt idx="3">
                  <c:v>11.4375</c:v>
                </c:pt>
              </c:numCache>
            </c:numRef>
          </c:val>
          <c:extLst>
            <c:ext xmlns:c16="http://schemas.microsoft.com/office/drawing/2014/chart" uri="{C3380CC4-5D6E-409C-BE32-E72D297353CC}">
              <c16:uniqueId val="{0000000B-BBB8-4B5E-94B6-BEA4057690EE}"/>
            </c:ext>
          </c:extLst>
        </c:ser>
        <c:ser>
          <c:idx val="9"/>
          <c:order val="7"/>
          <c:tx>
            <c:strRef>
              <c:f>'CO2-berekening '!$AH$62</c:f>
              <c:strCache>
                <c:ptCount val="1"/>
                <c:pt idx="0">
                  <c:v>Emissie bijstook - bron - </c:v>
                </c:pt>
              </c:strCache>
            </c:strRef>
          </c:tx>
          <c:spPr>
            <a:solidFill>
              <a:schemeClr val="accent3">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'!$AO$62:$AR$62</c:f>
              <c:numCache>
                <c:formatCode>0.00</c:formatCode>
                <c:ptCount val="4"/>
                <c:pt idx="0">
                  <c:v>0</c:v>
                </c:pt>
                <c:pt idx="1">
                  <c:v>0</c:v>
                </c:pt>
                <c:pt idx="2">
                  <c:v>0</c:v>
                </c:pt>
                <c:pt idx="3">
                  <c:v>0</c:v>
                </c:pt>
              </c:numCache>
            </c:numRef>
          </c:val>
          <c:extLst>
            <c:ext xmlns:c16="http://schemas.microsoft.com/office/drawing/2014/chart" uri="{C3380CC4-5D6E-409C-BE32-E72D297353CC}">
              <c16:uniqueId val="{0000000D-5AAE-4384-9190-32DE4C1BD845}"/>
            </c:ext>
          </c:extLst>
        </c:ser>
        <c:ser>
          <c:idx val="4"/>
          <c:order val="8"/>
          <c:tx>
            <c:strRef>
              <c:f>'CO2-berekening '!$AH$63</c:f>
              <c:strCache>
                <c:ptCount val="1"/>
                <c:pt idx="0">
                  <c:v>Emissie netverlies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'CO2-berekening '!$AO$44:$AR$44</c:f>
              <c:strCache>
                <c:ptCount val="4"/>
                <c:pt idx="0">
                  <c:v>2020</c:v>
                </c:pt>
                <c:pt idx="1">
                  <c:v>2025</c:v>
                </c:pt>
                <c:pt idx="2">
                  <c:v>2030</c:v>
                </c:pt>
                <c:pt idx="3">
                  <c:v>20XX</c:v>
                </c:pt>
              </c:strCache>
            </c:strRef>
          </c:cat>
          <c:val>
            <c:numRef>
              <c:f>'CO2-berekening '!$AO$63:$AR$63</c:f>
              <c:numCache>
                <c:formatCode>0.00</c:formatCode>
                <c:ptCount val="4"/>
                <c:pt idx="0">
                  <c:v>5.5243083333333338</c:v>
                </c:pt>
                <c:pt idx="1">
                  <c:v>5.2317083333333336</c:v>
                </c:pt>
                <c:pt idx="2">
                  <c:v>4.8415749999999997</c:v>
                </c:pt>
                <c:pt idx="3">
                  <c:v>4.5489750000000004</c:v>
                </c:pt>
              </c:numCache>
            </c:numRef>
          </c:val>
          <c:extLst>
            <c:ext xmlns:c16="http://schemas.microsoft.com/office/drawing/2014/chart" uri="{C3380CC4-5D6E-409C-BE32-E72D297353CC}">
              <c16:uniqueId val="{0000000C-BBB8-4B5E-94B6-BEA4057690EE}"/>
            </c:ext>
          </c:extLst>
        </c:ser>
        <c:dLbls>
          <c:showLegendKey val="0"/>
          <c:showVal val="0"/>
          <c:showCatName val="0"/>
          <c:showSerName val="0"/>
          <c:showPercent val="0"/>
          <c:showBubbleSize val="0"/>
        </c:dLbls>
        <c:gapWidth val="150"/>
        <c:overlap val="100"/>
        <c:axId val="217423904"/>
        <c:axId val="217431120"/>
      </c:barChart>
      <c:lineChart>
        <c:grouping val="standard"/>
        <c:varyColors val="0"/>
        <c:ser>
          <c:idx val="5"/>
          <c:order val="9"/>
          <c:tx>
            <c:strRef>
              <c:f>'CO2-berekening '!$AH$67</c:f>
              <c:strCache>
                <c:ptCount val="1"/>
                <c:pt idx="0">
                  <c:v>Doelstelling Klimaatakkoord 2030</c:v>
                </c:pt>
              </c:strCache>
            </c:strRef>
          </c:tx>
          <c:spPr>
            <a:ln w="19050" cap="rnd">
              <a:solidFill>
                <a:srgbClr val="FF0000"/>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4-2D9E-4A81-AB39-BC84BB19A9F5}"/>
                </c:ext>
              </c:extLst>
            </c:dLbl>
            <c:dLbl>
              <c:idx val="1"/>
              <c:delete val="1"/>
              <c:extLst>
                <c:ext xmlns:c15="http://schemas.microsoft.com/office/drawing/2012/chart" uri="{CE6537A1-D6FC-4f65-9D91-7224C49458BB}"/>
                <c:ext xmlns:c16="http://schemas.microsoft.com/office/drawing/2014/chart" uri="{C3380CC4-5D6E-409C-BE32-E72D297353CC}">
                  <c16:uniqueId val="{00000003-2D9E-4A81-AB39-BC84BB19A9F5}"/>
                </c:ext>
              </c:extLst>
            </c:dLbl>
            <c:dLbl>
              <c:idx val="2"/>
              <c:delete val="1"/>
              <c:extLst>
                <c:ext xmlns:c15="http://schemas.microsoft.com/office/drawing/2012/chart" uri="{CE6537A1-D6FC-4f65-9D91-7224C49458BB}"/>
                <c:ext xmlns:c16="http://schemas.microsoft.com/office/drawing/2014/chart" uri="{C3380CC4-5D6E-409C-BE32-E72D297353CC}">
                  <c16:uniqueId val="{00000002-2D9E-4A81-AB39-BC84BB19A9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nl-NL"/>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'CO2-berekening '!$AO$67:$AR$67</c:f>
              <c:numCache>
                <c:formatCode>0.0</c:formatCode>
                <c:ptCount val="4"/>
                <c:pt idx="1">
                  <c:v>18.899999999999999</c:v>
                </c:pt>
                <c:pt idx="2">
                  <c:v>18.899999999999999</c:v>
                </c:pt>
                <c:pt idx="3">
                  <c:v>18.899999999999999</c:v>
                </c:pt>
              </c:numCache>
            </c:numRef>
          </c:val>
          <c:smooth val="0"/>
          <c:extLst>
            <c:ext xmlns:c16="http://schemas.microsoft.com/office/drawing/2014/chart" uri="{C3380CC4-5D6E-409C-BE32-E72D297353CC}">
              <c16:uniqueId val="{0000001E-BBB8-4B5E-94B6-BEA4057690EE}"/>
            </c:ext>
          </c:extLst>
        </c:ser>
        <c:ser>
          <c:idx val="10"/>
          <c:order val="10"/>
          <c:tx>
            <c:strRef>
              <c:f>'CO2-berekening '!$AH$68</c:f>
              <c:strCache>
                <c:ptCount val="1"/>
                <c:pt idx="0">
                  <c:v>Doelstellingen Warmtewet</c:v>
                </c:pt>
              </c:strCache>
            </c:strRef>
          </c:tx>
          <c:spPr>
            <a:ln w="19050" cap="rnd">
              <a:solidFill>
                <a:schemeClr val="accent5">
                  <a:lumMod val="60000"/>
                  <a:alpha val="50000"/>
                </a:schemeClr>
              </a:solidFill>
              <a:round/>
            </a:ln>
            <a:effectLst/>
          </c:spPr>
          <c:marker>
            <c:symbol val="dash"/>
            <c:size val="11"/>
            <c:spPr>
              <a:solidFill>
                <a:schemeClr val="accent5">
                  <a:lumMod val="60000"/>
                </a:schemeClr>
              </a:solidFill>
              <a:ln w="9525">
                <a:solidFill>
                  <a:schemeClr val="accent5">
                    <a:lumMod val="60000"/>
                  </a:schemeClr>
                </a:solidFill>
              </a:ln>
              <a:effectLst/>
            </c:spPr>
          </c:marker>
          <c:dLbls>
            <c:dLbl>
              <c:idx val="0"/>
              <c:delete val="1"/>
              <c:extLst>
                <c:ext xmlns:c15="http://schemas.microsoft.com/office/drawing/2012/chart" uri="{CE6537A1-D6FC-4f65-9D91-7224C49458BB}"/>
                <c:ext xmlns:c16="http://schemas.microsoft.com/office/drawing/2014/chart" uri="{C3380CC4-5D6E-409C-BE32-E72D297353CC}">
                  <c16:uniqueId val="{00000008-2D9E-4A81-AB39-BC84BB19A9F5}"/>
                </c:ext>
              </c:extLst>
            </c:dLbl>
            <c:dLbl>
              <c:idx val="1"/>
              <c:delete val="1"/>
              <c:extLst>
                <c:ext xmlns:c15="http://schemas.microsoft.com/office/drawing/2012/chart" uri="{CE6537A1-D6FC-4f65-9D91-7224C49458BB}"/>
                <c:ext xmlns:c16="http://schemas.microsoft.com/office/drawing/2014/chart" uri="{C3380CC4-5D6E-409C-BE32-E72D297353CC}">
                  <c16:uniqueId val="{00000007-2D9E-4A81-AB39-BC84BB19A9F5}"/>
                </c:ext>
              </c:extLst>
            </c:dLbl>
            <c:dLbl>
              <c:idx val="3"/>
              <c:delete val="1"/>
              <c:extLst>
                <c:ext xmlns:c15="http://schemas.microsoft.com/office/drawing/2012/chart" uri="{CE6537A1-D6FC-4f65-9D91-7224C49458BB}"/>
                <c:ext xmlns:c16="http://schemas.microsoft.com/office/drawing/2014/chart" uri="{C3380CC4-5D6E-409C-BE32-E72D297353CC}">
                  <c16:uniqueId val="{00000001-96BF-431D-997B-45909475E9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2060"/>
                    </a:solidFill>
                    <a:latin typeface="+mn-lt"/>
                    <a:ea typeface="+mn-ea"/>
                    <a:cs typeface="+mn-cs"/>
                  </a:defRPr>
                </a:pPr>
                <a:endParaRPr lang="nl-NL"/>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'CO2-berekening '!$AO$68:$AR$68</c:f>
              <c:numCache>
                <c:formatCode>0.0</c:formatCode>
                <c:ptCount val="4"/>
                <c:pt idx="0">
                  <c:v>40</c:v>
                </c:pt>
                <c:pt idx="1">
                  <c:v>34.5</c:v>
                </c:pt>
                <c:pt idx="2">
                  <c:v>25</c:v>
                </c:pt>
                <c:pt idx="3">
                  <c:v>0</c:v>
                </c:pt>
              </c:numCache>
            </c:numRef>
          </c:val>
          <c:smooth val="0"/>
          <c:extLst>
            <c:ext xmlns:c16="http://schemas.microsoft.com/office/drawing/2014/chart" uri="{C3380CC4-5D6E-409C-BE32-E72D297353CC}">
              <c16:uniqueId val="{0000000E-5AAE-4384-9190-32DE4C1BD845}"/>
            </c:ext>
          </c:extLst>
        </c:ser>
        <c:dLbls>
          <c:showLegendKey val="0"/>
          <c:showVal val="0"/>
          <c:showCatName val="0"/>
          <c:showSerName val="0"/>
          <c:showPercent val="0"/>
          <c:showBubbleSize val="0"/>
        </c:dLbls>
        <c:marker val="1"/>
        <c:smooth val="0"/>
        <c:axId val="217423904"/>
        <c:axId val="217431120"/>
      </c:lineChart>
      <c:catAx>
        <c:axId val="21742390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Jaar</a:t>
                </a:r>
              </a:p>
            </c:rich>
          </c:tx>
          <c:layout>
            <c:manualLayout>
              <c:xMode val="edge"/>
              <c:yMode val="edge"/>
              <c:x val="0.50959710783719425"/>
              <c:y val="0.9402888777888778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217431120"/>
        <c:crosses val="autoZero"/>
        <c:auto val="1"/>
        <c:lblAlgn val="ctr"/>
        <c:lblOffset val="100"/>
        <c:noMultiLvlLbl val="0"/>
      </c:catAx>
      <c:valAx>
        <c:axId val="217431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US" sz="1200" b="1"/>
                  <a:t>CO2-emissie [kg/GJ]</a:t>
                </a:r>
              </a:p>
            </c:rich>
          </c:tx>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crossAx val="217423904"/>
        <c:crosses val="autoZero"/>
        <c:crossBetween val="between"/>
      </c:valAx>
      <c:spPr>
        <a:noFill/>
        <a:ln>
          <a:noFill/>
        </a:ln>
        <a:effectLst/>
      </c:spPr>
    </c:plotArea>
    <c:legend>
      <c:legendPos val="t"/>
      <c:layout>
        <c:manualLayout>
          <c:xMode val="edge"/>
          <c:yMode val="edge"/>
          <c:x val="5.6190168495882993E-2"/>
          <c:y val="7.3120665254285941E-2"/>
          <c:w val="0.93529844544927943"/>
          <c:h val="9.863930090574142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nl-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9050"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0</xdr:col>
      <xdr:colOff>104775</xdr:colOff>
      <xdr:row>3</xdr:row>
      <xdr:rowOff>161926</xdr:rowOff>
    </xdr:from>
    <xdr:to>
      <xdr:col>10</xdr:col>
      <xdr:colOff>133350</xdr:colOff>
      <xdr:row>12</xdr:row>
      <xdr:rowOff>133350</xdr:rowOff>
    </xdr:to>
    <xdr:sp macro="" textlink="">
      <xdr:nvSpPr>
        <xdr:cNvPr id="9" name="TextBox 1">
          <a:extLst>
            <a:ext uri="{FF2B5EF4-FFF2-40B4-BE49-F238E27FC236}">
              <a16:creationId xmlns:a16="http://schemas.microsoft.com/office/drawing/2014/main" id="{4FE7F17B-E72C-4F5B-A142-55E0FA23B499}"/>
            </a:ext>
          </a:extLst>
        </xdr:cNvPr>
        <xdr:cNvSpPr txBox="1"/>
      </xdr:nvSpPr>
      <xdr:spPr>
        <a:xfrm>
          <a:off x="104775" y="733426"/>
          <a:ext cx="6124575" cy="16859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Deze Excel rekensheet is ontwikkeld naar</a:t>
          </a:r>
          <a:r>
            <a:rPr lang="en-GB" sz="1100" baseline="0"/>
            <a:t> aanleiding van de whitepaper '</a:t>
          </a:r>
          <a:r>
            <a:rPr lang="en-GB" sz="1100" baseline="0">
              <a:solidFill>
                <a:sysClr val="windowText" lastClr="000000"/>
              </a:solidFill>
            </a:rPr>
            <a:t>Duurzaamheid van geothermie in warmtenetten</a:t>
          </a:r>
          <a:r>
            <a:rPr lang="en-GB" sz="1100" baseline="0"/>
            <a:t>' (2020), e</a:t>
          </a:r>
          <a:r>
            <a:rPr lang="en-GB" sz="1100" b="0" i="0">
              <a:solidFill>
                <a:schemeClr val="dk1"/>
              </a:solidFill>
              <a:effectLst/>
              <a:latin typeface="+mn-lt"/>
              <a:ea typeface="+mn-ea"/>
              <a:cs typeface="+mn-cs"/>
            </a:rPr>
            <a:t>n kan gebruikt worden om inzicht te krijgen in de emmissies</a:t>
          </a:r>
          <a:r>
            <a:rPr lang="en-GB" sz="1100" b="0" i="0" baseline="0">
              <a:solidFill>
                <a:schemeClr val="dk1"/>
              </a:solidFill>
              <a:effectLst/>
              <a:latin typeface="+mn-lt"/>
              <a:ea typeface="+mn-ea"/>
              <a:cs typeface="+mn-cs"/>
            </a:rPr>
            <a:t> in een warmtenet. De ondersteunende technische notitie kan worden geraadpleegd voor de achterliggende berekeningen. Publicatiedatum: December 2020. Update: Juni 2021.</a:t>
          </a:r>
        </a:p>
        <a:p>
          <a:endParaRPr lang="en-GB" sz="1100" b="0" i="0" baseline="0">
            <a:solidFill>
              <a:schemeClr val="dk1"/>
            </a:solidFill>
            <a:effectLst/>
            <a:latin typeface="+mn-lt"/>
            <a:ea typeface="+mn-ea"/>
            <a:cs typeface="+mn-cs"/>
          </a:endParaRPr>
        </a:p>
        <a:p>
          <a:r>
            <a:rPr lang="en-GB" sz="1100"/>
            <a:t>Hoewel de inhoud van dit rekenmodel met grote zorgvuldigheid tot stand is gekomen, kan TNO, behoudens opzet of grove nalatigheid, geen aansprakelijkheid aanvaarden voor resultaten die voortvloeien</a:t>
          </a:r>
          <a:r>
            <a:rPr lang="en-GB" sz="1100" baseline="0"/>
            <a:t> </a:t>
          </a:r>
          <a:r>
            <a:rPr lang="en-GB" sz="1100"/>
            <a:t>uit het gebruik van dit rekenmodel.</a:t>
          </a:r>
          <a:r>
            <a:rPr lang="en-GB" sz="1100" baseline="0"/>
            <a:t> De rekensheet is bedoeld om inzicht te geven en een eerste orde berekening te kunnen uitvoeren van de CO</a:t>
          </a:r>
          <a:r>
            <a:rPr lang="en-GB" sz="1100" baseline="-25000"/>
            <a:t>2</a:t>
          </a:r>
          <a:r>
            <a:rPr lang="en-GB" sz="1100" baseline="0"/>
            <a:t> uitstoot in warmtenetten.</a:t>
          </a:r>
        </a:p>
        <a:p>
          <a:endParaRPr lang="en-GB" sz="1100" baseline="0"/>
        </a:p>
        <a:p>
          <a:endParaRPr lang="en-GB" sz="1100"/>
        </a:p>
      </xdr:txBody>
    </xdr:sp>
    <xdr:clientData/>
  </xdr:twoCellAnchor>
  <xdr:twoCellAnchor editAs="oneCell">
    <xdr:from>
      <xdr:col>0</xdr:col>
      <xdr:colOff>57150</xdr:colOff>
      <xdr:row>0</xdr:row>
      <xdr:rowOff>0</xdr:rowOff>
    </xdr:from>
    <xdr:to>
      <xdr:col>10</xdr:col>
      <xdr:colOff>152400</xdr:colOff>
      <xdr:row>3</xdr:row>
      <xdr:rowOff>161925</xdr:rowOff>
    </xdr:to>
    <xdr:pic>
      <xdr:nvPicPr>
        <xdr:cNvPr id="5" name="Picture 4" descr="tno – Skoatterwald.nl">
          <a:extLst>
            <a:ext uri="{FF2B5EF4-FFF2-40B4-BE49-F238E27FC236}">
              <a16:creationId xmlns:a16="http://schemas.microsoft.com/office/drawing/2014/main" id="{3F77B70D-9649-4756-ACB2-3DB78224F952}"/>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1401" b="31401"/>
        <a:stretch/>
      </xdr:blipFill>
      <xdr:spPr bwMode="auto">
        <a:xfrm>
          <a:off x="57150" y="0"/>
          <a:ext cx="61912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534591</xdr:colOff>
      <xdr:row>21</xdr:row>
      <xdr:rowOff>38100</xdr:rowOff>
    </xdr:from>
    <xdr:to>
      <xdr:col>15</xdr:col>
      <xdr:colOff>460938</xdr:colOff>
      <xdr:row>31</xdr:row>
      <xdr:rowOff>180976</xdr:rowOff>
    </xdr:to>
    <xdr:pic>
      <xdr:nvPicPr>
        <xdr:cNvPr id="3" name="Picture 2">
          <a:extLst>
            <a:ext uri="{FF2B5EF4-FFF2-40B4-BE49-F238E27FC236}">
              <a16:creationId xmlns:a16="http://schemas.microsoft.com/office/drawing/2014/main" id="{47EE7235-B2DF-4468-A6C0-AA33FA2497A3}"/>
            </a:ext>
          </a:extLst>
        </xdr:cNvPr>
        <xdr:cNvPicPr>
          <a:picLocks noChangeAspect="1"/>
        </xdr:cNvPicPr>
      </xdr:nvPicPr>
      <xdr:blipFill rotWithShape="1">
        <a:blip xmlns:r="http://schemas.openxmlformats.org/officeDocument/2006/relationships" r:embed="rId2"/>
        <a:srcRect l="41977" t="19738" r="52432" b="68665"/>
        <a:stretch/>
      </xdr:blipFill>
      <xdr:spPr>
        <a:xfrm>
          <a:off x="6630591" y="4038600"/>
          <a:ext cx="2974347" cy="2047876"/>
        </a:xfrm>
        <a:prstGeom prst="rect">
          <a:avLst/>
        </a:prstGeom>
      </xdr:spPr>
    </xdr:pic>
    <xdr:clientData/>
  </xdr:twoCellAnchor>
  <xdr:twoCellAnchor editAs="oneCell">
    <xdr:from>
      <xdr:col>12</xdr:col>
      <xdr:colOff>352425</xdr:colOff>
      <xdr:row>25</xdr:row>
      <xdr:rowOff>142874</xdr:rowOff>
    </xdr:from>
    <xdr:to>
      <xdr:col>12</xdr:col>
      <xdr:colOff>547625</xdr:colOff>
      <xdr:row>27</xdr:row>
      <xdr:rowOff>38100</xdr:rowOff>
    </xdr:to>
    <xdr:pic>
      <xdr:nvPicPr>
        <xdr:cNvPr id="6" name="Picture 5" descr="Arrow, Click, Cursor, Interaction, Mouse Icon PNG Image Free Download  searchpng.com">
          <a:extLst>
            <a:ext uri="{FF2B5EF4-FFF2-40B4-BE49-F238E27FC236}">
              <a16:creationId xmlns:a16="http://schemas.microsoft.com/office/drawing/2014/main" id="{0FD4B4F5-1056-468A-A498-3EA3972A982A}"/>
            </a:ext>
          </a:extLst>
        </xdr:cNvPr>
        <xdr:cNvPicPr>
          <a:picLocks noChangeAspect="1" noChangeArrowheads="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ackgroundRemoval t="10000" b="90000" l="10000" r="90000"/>
                  </a14:imgEffect>
                </a14:imgLayer>
              </a14:imgProps>
            </a:ext>
            <a:ext uri="{28A0092B-C50C-407E-A947-70E740481C1C}">
              <a14:useLocalDpi xmlns:a14="http://schemas.microsoft.com/office/drawing/2010/main" val="0"/>
            </a:ext>
          </a:extLst>
        </a:blip>
        <a:srcRect l="21693" t="9524" r="22222" b="11111"/>
        <a:stretch/>
      </xdr:blipFill>
      <xdr:spPr bwMode="auto">
        <a:xfrm rot="20695823">
          <a:off x="7667625" y="4905374"/>
          <a:ext cx="195200" cy="276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104775</xdr:colOff>
      <xdr:row>13</xdr:row>
      <xdr:rowOff>76199</xdr:rowOff>
    </xdr:from>
    <xdr:to>
      <xdr:col>10</xdr:col>
      <xdr:colOff>152400</xdr:colOff>
      <xdr:row>47</xdr:row>
      <xdr:rowOff>47625</xdr:rowOff>
    </xdr:to>
    <xdr:sp macro="" textlink="">
      <xdr:nvSpPr>
        <xdr:cNvPr id="12" name="TextBox 6">
          <a:extLst>
            <a:ext uri="{FF2B5EF4-FFF2-40B4-BE49-F238E27FC236}">
              <a16:creationId xmlns:a16="http://schemas.microsoft.com/office/drawing/2014/main" id="{34794DEC-B1D1-4D75-878D-8638C9B71C5A}"/>
            </a:ext>
          </a:extLst>
        </xdr:cNvPr>
        <xdr:cNvSpPr txBox="1"/>
      </xdr:nvSpPr>
      <xdr:spPr>
        <a:xfrm>
          <a:off x="104775" y="2552699"/>
          <a:ext cx="6143625" cy="64484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i="1"/>
            <a:t>Uitleg rekentool</a:t>
          </a:r>
        </a:p>
        <a:p>
          <a:endParaRPr lang="en-GB" sz="1100" baseline="0"/>
        </a:p>
        <a:p>
          <a:r>
            <a:rPr lang="en-GB" sz="1100" u="sng" baseline="0"/>
            <a:t>Werkblad '</a:t>
          </a:r>
          <a:r>
            <a:rPr lang="en-GB" sz="1100" b="1" u="sng" baseline="0"/>
            <a:t>CO</a:t>
          </a:r>
          <a:r>
            <a:rPr lang="en-GB" sz="1100" b="1" u="sng" baseline="-25000"/>
            <a:t>2</a:t>
          </a:r>
          <a:r>
            <a:rPr lang="en-GB" sz="1100" b="1" u="sng" baseline="0"/>
            <a:t> berekening</a:t>
          </a:r>
          <a:r>
            <a:rPr lang="en-GB" sz="1100" u="sng" baseline="0"/>
            <a:t>'</a:t>
          </a:r>
        </a:p>
        <a:p>
          <a:r>
            <a:rPr lang="en-GB" sz="1100" baseline="0"/>
            <a:t>In het werkblad </a:t>
          </a:r>
          <a:r>
            <a:rPr lang="en-GB" sz="1100" b="0" baseline="0"/>
            <a:t>CO2 berekening wordt de CO</a:t>
          </a:r>
          <a:r>
            <a:rPr lang="en-GB" sz="1100" b="0" baseline="-25000"/>
            <a:t>2</a:t>
          </a:r>
          <a:r>
            <a:rPr lang="en-GB" sz="1100" b="0" baseline="0"/>
            <a:t>-emissie van een warmtenet berekend. </a:t>
          </a:r>
        </a:p>
        <a:p>
          <a:r>
            <a:rPr lang="en-GB" sz="1100" b="0" baseline="0"/>
            <a:t>- Er is een schematisch overzicht van een warmtenet gegeven met;</a:t>
          </a:r>
        </a:p>
        <a:p>
          <a:r>
            <a:rPr lang="en-GB" sz="1100" b="0" baseline="0"/>
            <a:t>	- geothermie bron (geowater en formatiegas)</a:t>
          </a:r>
        </a:p>
        <a:p>
          <a:r>
            <a:rPr lang="en-GB" sz="1100" b="0" baseline="0"/>
            <a:t>	- evt. andere bronnen (max. 3)</a:t>
          </a:r>
        </a:p>
        <a:p>
          <a:r>
            <a:rPr lang="en-GB" sz="1100" b="0" baseline="0"/>
            <a:t>	- optie voor warmtepomp (voor uitkoelen van geothermiebron)</a:t>
          </a:r>
        </a:p>
        <a:p>
          <a:r>
            <a:rPr lang="en-GB" sz="1100" b="0" baseline="0"/>
            <a:t>	- bijstook (max. 2 bronnen)</a:t>
          </a:r>
        </a:p>
        <a:p>
          <a:r>
            <a:rPr lang="en-GB" sz="1100" b="0" baseline="0"/>
            <a:t>	- warmteverlies in het warmtenet</a:t>
          </a:r>
        </a:p>
        <a:p>
          <a:r>
            <a:rPr lang="en-GB" sz="1100" b="0" baseline="0"/>
            <a:t>- Voor deze onderdelen van het warmtenet moet worden aangegeven welk percentage van de warmtevraag gedekt wordt door elk van deze onderdelen. Hiervan is warmteverlies uitgezonderd, dit is een percentage van de totale warmte. Let op op dat de som van de percentages (excl. warmteverlies) 100% moet zijn. Ook is de pieklast (hulpketel) vaak minimaal zo'n 15% van de warmtevraag in de Nederlandse warmtenetten. </a:t>
          </a:r>
        </a:p>
        <a:p>
          <a:r>
            <a:rPr lang="en-GB" sz="1100" b="0" baseline="0"/>
            <a:t>- De oranje cellen                   moeten ingevuld worden. Let op!: voor de inschatting van de percentages voor het aandeel in warmte is het van belang dat realistische waarden worden ingevuld. Deze kunnen het best worden gebaseerd op bestaande data.</a:t>
          </a:r>
        </a:p>
        <a:p>
          <a:r>
            <a:rPr lang="en-GB" sz="1100" b="0" baseline="0"/>
            <a:t>- Sommige input cellen bevatten een 'dropdown' cel waaruit de gewenste bron gekozen kan worden.</a:t>
          </a:r>
        </a:p>
        <a:p>
          <a:r>
            <a:rPr lang="en-GB" sz="1100" b="0" baseline="0"/>
            <a:t>- De overige cellen bevatten uitkomsten van de berekening en kunnen niet veranderd worden.</a:t>
          </a:r>
        </a:p>
        <a:p>
          <a:r>
            <a:rPr lang="en-GB" sz="1100" b="0" baseline="0"/>
            <a:t>- Een overzicht van de resultaten staan in de grafiek.</a:t>
          </a:r>
        </a:p>
        <a:p>
          <a:endParaRPr lang="en-GB" sz="1100" b="0" baseline="0"/>
        </a:p>
        <a:p>
          <a:r>
            <a:rPr lang="en-GB" sz="1100" b="0" u="sng" baseline="0"/>
            <a:t>Werkblad '</a:t>
          </a:r>
          <a:r>
            <a:rPr lang="en-GB" sz="1100" b="1" u="sng" baseline="0"/>
            <a:t>Parameters &amp; Aannames</a:t>
          </a:r>
          <a:r>
            <a:rPr lang="en-GB" sz="1100" b="0" u="sng" baseline="0"/>
            <a:t>'</a:t>
          </a:r>
        </a:p>
        <a:p>
          <a:r>
            <a:rPr lang="en-GB" sz="1100" b="0" baseline="0"/>
            <a:t>Hierin staan alle parameters en aannames die golden ten tijde van de ontwikkeling van deze tool (december 2020), inclusief referentie. Bij updates van kengetallen kunnen deze worden aangepast.</a:t>
          </a:r>
        </a:p>
        <a:p>
          <a:endParaRPr lang="en-GB" sz="1100" b="0" baseline="0"/>
        </a:p>
        <a:p>
          <a:r>
            <a:rPr lang="en-GB" sz="1100" b="0" u="sng" baseline="0"/>
            <a:t>Update september 2021:</a:t>
          </a:r>
        </a:p>
        <a:p>
          <a:r>
            <a:rPr lang="en-GB" sz="1100" b="0" baseline="0"/>
            <a:t>- Splitsing aandeel bron in geowater en formatiegas (tab CO2 berekening, cel N8 en Q8), voor correcte berekening warmtepomp scenario</a:t>
          </a:r>
        </a:p>
        <a:p>
          <a:r>
            <a:rPr lang="en-GB" sz="1100" b="0" baseline="0"/>
            <a:t>- Emissiefactoren andere bronnen toegevoegd (berekend met Harmelink methode, zie</a:t>
          </a:r>
          <a:r>
            <a:rPr lang="en-GB" sz="1100" b="0" baseline="0">
              <a:solidFill>
                <a:sysClr val="windowText" lastClr="000000"/>
              </a:solidFill>
            </a:rPr>
            <a:t> Dinkelman et al. (2021). Factsheet Duurzaamheid Geothermie</a:t>
          </a:r>
          <a:r>
            <a:rPr lang="en-GB" sz="1100" b="0" baseline="0"/>
            <a:t>), uitbereiding met jaartallen emissiefactoren andere bronnen, jaartal 2015 verwijderd door gebrek aan data.</a:t>
          </a:r>
        </a:p>
        <a:p>
          <a:r>
            <a:rPr lang="en-GB" sz="1100" b="0" baseline="0"/>
            <a:t>- Emissiefactoren formatiegas toegevoegd (zie </a:t>
          </a:r>
          <a:r>
            <a:rPr lang="en-GB" sz="1100" b="0" baseline="0">
              <a:solidFill>
                <a:schemeClr val="dk1"/>
              </a:solidFill>
              <a:effectLst/>
              <a:latin typeface="+mn-lt"/>
              <a:ea typeface="+mn-ea"/>
              <a:cs typeface="+mn-cs"/>
            </a:rPr>
            <a:t> Dinkelman et al. (2021). Factsheet Duurzaamheid Geothermie)</a:t>
          </a:r>
          <a:endParaRPr lang="en-GB" sz="1100" b="0" baseline="0"/>
        </a:p>
        <a:p>
          <a:r>
            <a:rPr lang="en-GB" sz="1100" b="0" baseline="0"/>
            <a:t>- Aanpassing fout in jaartallen emissiefactor elektriciteit (tab CO2 berekening)</a:t>
          </a:r>
        </a:p>
        <a:p>
          <a:endParaRPr lang="en-GB" sz="1100" baseline="0"/>
        </a:p>
        <a:p>
          <a:endParaRPr lang="en-GB" sz="1100"/>
        </a:p>
      </xdr:txBody>
    </xdr:sp>
    <xdr:clientData/>
  </xdr:twoCellAnchor>
  <xdr:twoCellAnchor editAs="oneCell">
    <xdr:from>
      <xdr:col>2</xdr:col>
      <xdr:colOff>1</xdr:colOff>
      <xdr:row>27</xdr:row>
      <xdr:rowOff>0</xdr:rowOff>
    </xdr:from>
    <xdr:to>
      <xdr:col>2</xdr:col>
      <xdr:colOff>552451</xdr:colOff>
      <xdr:row>28</xdr:row>
      <xdr:rowOff>28855</xdr:rowOff>
    </xdr:to>
    <xdr:pic>
      <xdr:nvPicPr>
        <xdr:cNvPr id="11" name="Picture 3">
          <a:extLst>
            <a:ext uri="{FF2B5EF4-FFF2-40B4-BE49-F238E27FC236}">
              <a16:creationId xmlns:a16="http://schemas.microsoft.com/office/drawing/2014/main" id="{31023646-2721-4AEF-A694-0DB9CDB6E2A1}"/>
            </a:ext>
          </a:extLst>
        </xdr:cNvPr>
        <xdr:cNvPicPr>
          <a:picLocks noChangeAspect="1"/>
        </xdr:cNvPicPr>
      </xdr:nvPicPr>
      <xdr:blipFill>
        <a:blip xmlns:r="http://schemas.openxmlformats.org/officeDocument/2006/relationships" r:embed="rId5"/>
        <a:stretch>
          <a:fillRect/>
        </a:stretch>
      </xdr:blipFill>
      <xdr:spPr>
        <a:xfrm>
          <a:off x="1219201" y="5143500"/>
          <a:ext cx="552450" cy="219355"/>
        </a:xfrm>
        <a:prstGeom prst="rect">
          <a:avLst/>
        </a:prstGeom>
      </xdr:spPr>
    </xdr:pic>
    <xdr:clientData/>
  </xdr:twoCellAnchor>
  <xdr:twoCellAnchor>
    <xdr:from>
      <xdr:col>5</xdr:col>
      <xdr:colOff>295276</xdr:colOff>
      <xdr:row>0</xdr:row>
      <xdr:rowOff>0</xdr:rowOff>
    </xdr:from>
    <xdr:to>
      <xdr:col>10</xdr:col>
      <xdr:colOff>219075</xdr:colOff>
      <xdr:row>2</xdr:row>
      <xdr:rowOff>76199</xdr:rowOff>
    </xdr:to>
    <xdr:sp macro="" textlink="">
      <xdr:nvSpPr>
        <xdr:cNvPr id="8" name="TextBox 7">
          <a:extLst>
            <a:ext uri="{FF2B5EF4-FFF2-40B4-BE49-F238E27FC236}">
              <a16:creationId xmlns:a16="http://schemas.microsoft.com/office/drawing/2014/main" id="{B7650463-9CAC-49DE-A64B-CC9C827425A6}"/>
            </a:ext>
          </a:extLst>
        </xdr:cNvPr>
        <xdr:cNvSpPr txBox="1"/>
      </xdr:nvSpPr>
      <xdr:spPr>
        <a:xfrm>
          <a:off x="3343276" y="0"/>
          <a:ext cx="2971799" cy="4571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sz="1100"/>
            <a:t>Contactpersoon TNO: Dorien Dinkelman</a:t>
          </a:r>
          <a:r>
            <a:rPr lang="en-GB" sz="1100" baseline="0"/>
            <a:t> dorien.dinkelman@tno.nl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247387</xdr:colOff>
      <xdr:row>42</xdr:row>
      <xdr:rowOff>17077</xdr:rowOff>
    </xdr:from>
    <xdr:to>
      <xdr:col>19</xdr:col>
      <xdr:colOff>416719</xdr:colOff>
      <xdr:row>71</xdr:row>
      <xdr:rowOff>119061</xdr:rowOff>
    </xdr:to>
    <xdr:graphicFrame macro="">
      <xdr:nvGraphicFramePr>
        <xdr:cNvPr id="57" name="Chart 56">
          <a:extLst>
            <a:ext uri="{FF2B5EF4-FFF2-40B4-BE49-F238E27FC236}">
              <a16:creationId xmlns:a16="http://schemas.microsoft.com/office/drawing/2014/main" id="{B7948DCC-9A36-4FF0-826C-BF0C06DB96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xdr:colOff>
      <xdr:row>21</xdr:row>
      <xdr:rowOff>45240</xdr:rowOff>
    </xdr:from>
    <xdr:to>
      <xdr:col>22</xdr:col>
      <xdr:colOff>35719</xdr:colOff>
      <xdr:row>27</xdr:row>
      <xdr:rowOff>35719</xdr:rowOff>
    </xdr:to>
    <xdr:sp macro="" textlink="">
      <xdr:nvSpPr>
        <xdr:cNvPr id="12" name="TextBox 11">
          <a:extLst>
            <a:ext uri="{FF2B5EF4-FFF2-40B4-BE49-F238E27FC236}">
              <a16:creationId xmlns:a16="http://schemas.microsoft.com/office/drawing/2014/main" id="{F6E6EDF2-91D1-4144-A86E-4540F1E98E22}"/>
            </a:ext>
          </a:extLst>
        </xdr:cNvPr>
        <xdr:cNvSpPr txBox="1"/>
      </xdr:nvSpPr>
      <xdr:spPr>
        <a:xfrm>
          <a:off x="8143879" y="4772021"/>
          <a:ext cx="8620121" cy="13477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NL" sz="1100" b="1" i="0">
              <a:solidFill>
                <a:schemeClr val="dk1"/>
              </a:solidFill>
              <a:effectLst/>
              <a:latin typeface="+mn-lt"/>
              <a:ea typeface="+mn-ea"/>
              <a:cs typeface="+mn-cs"/>
            </a:rPr>
            <a:t>Let op:</a:t>
          </a:r>
          <a:br>
            <a:rPr lang="nl-NL" sz="1100" b="0" i="0">
              <a:solidFill>
                <a:schemeClr val="dk1"/>
              </a:solidFill>
              <a:effectLst/>
              <a:latin typeface="+mn-lt"/>
              <a:ea typeface="+mn-ea"/>
              <a:cs typeface="+mn-cs"/>
            </a:rPr>
          </a:br>
          <a:r>
            <a:rPr lang="nl-NL" sz="1100" b="0" i="0">
              <a:solidFill>
                <a:schemeClr val="dk1"/>
              </a:solidFill>
              <a:effectLst/>
              <a:latin typeface="+mn-lt"/>
              <a:ea typeface="+mn-ea"/>
              <a:cs typeface="+mn-cs"/>
            </a:rPr>
            <a:t>Vollasturen</a:t>
          </a:r>
          <a:r>
            <a:rPr lang="nl-NL" sz="1100" b="0" i="0" baseline="0">
              <a:solidFill>
                <a:schemeClr val="dk1"/>
              </a:solidFill>
              <a:effectLst/>
              <a:latin typeface="+mn-lt"/>
              <a:ea typeface="+mn-ea"/>
              <a:cs typeface="+mn-cs"/>
            </a:rPr>
            <a:t> = het aantal uren in het jaar dat de geothermiebron op vol vermogen draait (max. debiet). Er zitten 8760 uren in een jaar. </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Het aantal</a:t>
          </a:r>
          <a:r>
            <a:rPr lang="nl-NL" sz="1100" b="0" i="0" baseline="0">
              <a:solidFill>
                <a:schemeClr val="dk1"/>
              </a:solidFill>
              <a:effectLst/>
              <a:latin typeface="+mn-lt"/>
              <a:ea typeface="+mn-ea"/>
              <a:cs typeface="+mn-cs"/>
            </a:rPr>
            <a:t> vollasturen kan worden aangepast naar de situatie van het warmtenet (3500-6000 uur/jaar voor de gebouwde omgeving, zie SDE++).</a:t>
          </a:r>
        </a:p>
        <a:p>
          <a:pPr marL="0" marR="0" lvl="0" indent="0" defTabSz="914400" eaLnBrk="1" fontAlgn="auto" latinLnBrk="0" hangingPunct="1">
            <a:lnSpc>
              <a:spcPct val="100000"/>
            </a:lnSpc>
            <a:spcBef>
              <a:spcPts val="0"/>
            </a:spcBef>
            <a:spcAft>
              <a:spcPts val="0"/>
            </a:spcAft>
            <a:buClrTx/>
            <a:buSzTx/>
            <a:buFontTx/>
            <a:buNone/>
            <a:tabLst/>
            <a:defRPr/>
          </a:pPr>
          <a:r>
            <a:rPr lang="nl-NL" sz="1100" b="0" i="0">
              <a:solidFill>
                <a:schemeClr val="dk1"/>
              </a:solidFill>
              <a:effectLst/>
              <a:latin typeface="+mn-lt"/>
              <a:ea typeface="+mn-ea"/>
              <a:cs typeface="+mn-cs"/>
            </a:rPr>
            <a:t>Een geothermie installatie heeft een maximum debiet. Indien</a:t>
          </a:r>
          <a:r>
            <a:rPr lang="nl-NL" sz="1100" b="0" i="0" baseline="0">
              <a:solidFill>
                <a:schemeClr val="dk1"/>
              </a:solidFill>
              <a:effectLst/>
              <a:latin typeface="+mn-lt"/>
              <a:ea typeface="+mn-ea"/>
              <a:cs typeface="+mn-cs"/>
            </a:rPr>
            <a:t> een groter vermogen nodig is om aan de warmtevraag te voldoen is een extra doublet nodig. Door het debiet te verdubbelen/aan te passen naar realistische waarden, kan gekeken worden of een extra doublet past in het warmtenet.</a:t>
          </a:r>
        </a:p>
        <a:p>
          <a:r>
            <a:rPr lang="nl-NL" sz="1100" b="0" i="0" baseline="0">
              <a:solidFill>
                <a:schemeClr val="dk1"/>
              </a:solidFill>
              <a:effectLst/>
              <a:latin typeface="+mn-lt"/>
              <a:ea typeface="+mn-ea"/>
              <a:cs typeface="+mn-cs"/>
            </a:rPr>
            <a:t>Gemiddelde debiet Perm ouderdom ≈ 210 m</a:t>
          </a:r>
          <a:r>
            <a:rPr lang="nl-NL" sz="1100" b="0" i="0" baseline="30000">
              <a:solidFill>
                <a:schemeClr val="dk1"/>
              </a:solidFill>
              <a:effectLst/>
              <a:latin typeface="+mn-lt"/>
              <a:ea typeface="+mn-ea"/>
              <a:cs typeface="+mn-cs"/>
            </a:rPr>
            <a:t>3</a:t>
          </a:r>
          <a:r>
            <a:rPr lang="nl-NL" sz="1100" b="0" i="0" baseline="0">
              <a:solidFill>
                <a:schemeClr val="dk1"/>
              </a:solidFill>
              <a:effectLst/>
              <a:latin typeface="+mn-lt"/>
              <a:ea typeface="+mn-ea"/>
              <a:cs typeface="+mn-cs"/>
            </a:rPr>
            <a:t>/h, gemiddelde debiet Jura/Krijt ouderdom ≈ 180 m</a:t>
          </a:r>
          <a:r>
            <a:rPr lang="nl-NL" sz="1100" b="0" i="0" baseline="30000">
              <a:solidFill>
                <a:schemeClr val="dk1"/>
              </a:solidFill>
              <a:effectLst/>
              <a:latin typeface="+mn-lt"/>
              <a:ea typeface="+mn-ea"/>
              <a:cs typeface="+mn-cs"/>
            </a:rPr>
            <a:t>3</a:t>
          </a:r>
          <a:r>
            <a:rPr lang="nl-NL" sz="1100" b="0" i="0" baseline="0">
              <a:solidFill>
                <a:schemeClr val="dk1"/>
              </a:solidFill>
              <a:effectLst/>
              <a:latin typeface="+mn-lt"/>
              <a:ea typeface="+mn-ea"/>
              <a:cs typeface="+mn-cs"/>
            </a:rPr>
            <a:t>/h. </a:t>
          </a:r>
        </a:p>
        <a:p>
          <a:r>
            <a:rPr lang="nl-NL" sz="1100" b="0" i="0" baseline="0">
              <a:solidFill>
                <a:schemeClr val="dk1"/>
              </a:solidFill>
              <a:effectLst/>
              <a:latin typeface="+mn-lt"/>
              <a:ea typeface="+mn-ea"/>
              <a:cs typeface="+mn-cs"/>
            </a:rPr>
            <a:t>Geen geothermiebron in het warmtenet: zet debiet op 0 m</a:t>
          </a:r>
          <a:r>
            <a:rPr lang="nl-NL" sz="1100" b="0" i="0" baseline="30000">
              <a:solidFill>
                <a:schemeClr val="dk1"/>
              </a:solidFill>
              <a:effectLst/>
              <a:latin typeface="+mn-lt"/>
              <a:ea typeface="+mn-ea"/>
              <a:cs typeface="+mn-cs"/>
            </a:rPr>
            <a:t>3</a:t>
          </a:r>
          <a:r>
            <a:rPr lang="nl-NL" sz="1100" b="0" i="0" baseline="0">
              <a:solidFill>
                <a:schemeClr val="dk1"/>
              </a:solidFill>
              <a:effectLst/>
              <a:latin typeface="+mn-lt"/>
              <a:ea typeface="+mn-ea"/>
              <a:cs typeface="+mn-cs"/>
            </a:rPr>
            <a:t>/h. </a:t>
          </a:r>
          <a:endParaRPr lang="nl-NL" sz="1100" b="0" i="0">
            <a:solidFill>
              <a:schemeClr val="dk1"/>
            </a:solidFill>
            <a:effectLst/>
            <a:latin typeface="+mn-lt"/>
            <a:ea typeface="+mn-ea"/>
            <a:cs typeface="+mn-cs"/>
          </a:endParaRPr>
        </a:p>
      </xdr:txBody>
    </xdr:sp>
    <xdr:clientData/>
  </xdr:twoCellAnchor>
  <xdr:twoCellAnchor>
    <xdr:from>
      <xdr:col>32</xdr:col>
      <xdr:colOff>826824</xdr:colOff>
      <xdr:row>41</xdr:row>
      <xdr:rowOff>66147</xdr:rowOff>
    </xdr:from>
    <xdr:to>
      <xdr:col>44</xdr:col>
      <xdr:colOff>563562</xdr:colOff>
      <xdr:row>80</xdr:row>
      <xdr:rowOff>23811</xdr:rowOff>
    </xdr:to>
    <xdr:sp macro="" textlink="">
      <xdr:nvSpPr>
        <xdr:cNvPr id="14" name="Rectangle 13">
          <a:extLst>
            <a:ext uri="{FF2B5EF4-FFF2-40B4-BE49-F238E27FC236}">
              <a16:creationId xmlns:a16="http://schemas.microsoft.com/office/drawing/2014/main" id="{81E0DFD9-9265-4108-9B8E-E2C70806DBEB}"/>
            </a:ext>
          </a:extLst>
        </xdr:cNvPr>
        <xdr:cNvSpPr/>
      </xdr:nvSpPr>
      <xdr:spPr>
        <a:xfrm>
          <a:off x="23091512" y="8864866"/>
          <a:ext cx="8213988" cy="745860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22</xdr:col>
      <xdr:colOff>261937</xdr:colOff>
      <xdr:row>12</xdr:row>
      <xdr:rowOff>83344</xdr:rowOff>
    </xdr:from>
    <xdr:to>
      <xdr:col>29</xdr:col>
      <xdr:colOff>369092</xdr:colOff>
      <xdr:row>17</xdr:row>
      <xdr:rowOff>107158</xdr:rowOff>
    </xdr:to>
    <xdr:sp macro="" textlink="">
      <xdr:nvSpPr>
        <xdr:cNvPr id="65" name="TextBox 64">
          <a:extLst>
            <a:ext uri="{FF2B5EF4-FFF2-40B4-BE49-F238E27FC236}">
              <a16:creationId xmlns:a16="http://schemas.microsoft.com/office/drawing/2014/main" id="{96CBCB5C-B6B0-4BFA-93F2-B67C451ACA12}"/>
            </a:ext>
          </a:extLst>
        </xdr:cNvPr>
        <xdr:cNvSpPr txBox="1"/>
      </xdr:nvSpPr>
      <xdr:spPr>
        <a:xfrm>
          <a:off x="16990218" y="2821782"/>
          <a:ext cx="4476749" cy="11430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i="0">
              <a:solidFill>
                <a:schemeClr val="dk1"/>
              </a:solidFill>
              <a:effectLst/>
              <a:latin typeface="+mn-lt"/>
              <a:ea typeface="+mn-ea"/>
              <a:cs typeface="+mn-cs"/>
            </a:rPr>
            <a:t>Let op:</a:t>
          </a:r>
          <a:endParaRPr lang="nl-NL" sz="1100" b="0" i="0">
            <a:solidFill>
              <a:schemeClr val="dk1"/>
            </a:solidFill>
            <a:effectLst/>
            <a:latin typeface="+mn-lt"/>
            <a:ea typeface="+mn-ea"/>
            <a:cs typeface="+mn-cs"/>
          </a:endParaRPr>
        </a:p>
        <a:p>
          <a:r>
            <a:rPr lang="nl-NL" sz="1100" b="0" i="0">
              <a:solidFill>
                <a:schemeClr val="dk1"/>
              </a:solidFill>
              <a:effectLst/>
              <a:latin typeface="+mn-lt"/>
              <a:ea typeface="+mn-ea"/>
              <a:cs typeface="+mn-cs"/>
            </a:rPr>
            <a:t>Er wordt aangenomen dat de temperatuur van deze bronnen van voldoende kwaliteit is (&gt;70°C) voor een middel/hoge</a:t>
          </a:r>
          <a:r>
            <a:rPr lang="nl-NL" sz="1100" b="0" i="0" baseline="0">
              <a:solidFill>
                <a:schemeClr val="dk1"/>
              </a:solidFill>
              <a:effectLst/>
              <a:latin typeface="+mn-lt"/>
              <a:ea typeface="+mn-ea"/>
              <a:cs typeface="+mn-cs"/>
            </a:rPr>
            <a:t> temperatuur warmtenet. Bij de bronnen aquathermie en ondiepe bodemenergie is bijv. de aanname gedaan dat een warmtepomp nodig is en deze meegerekend in de CO2-factor.</a:t>
          </a:r>
          <a:endParaRPr lang="nl-NL" sz="1100" b="0" i="0">
            <a:solidFill>
              <a:schemeClr val="dk1"/>
            </a:solidFill>
            <a:effectLst/>
            <a:latin typeface="+mn-lt"/>
            <a:ea typeface="+mn-ea"/>
            <a:cs typeface="+mn-cs"/>
          </a:endParaRPr>
        </a:p>
        <a:p>
          <a:endParaRPr lang="nl-NL" sz="1100" b="0" i="0">
            <a:solidFill>
              <a:schemeClr val="dk1"/>
            </a:solidFill>
            <a:effectLst/>
            <a:latin typeface="+mn-lt"/>
            <a:ea typeface="+mn-ea"/>
            <a:cs typeface="+mn-cs"/>
          </a:endParaRPr>
        </a:p>
      </xdr:txBody>
    </xdr:sp>
    <xdr:clientData/>
  </xdr:twoCellAnchor>
  <xdr:twoCellAnchor>
    <xdr:from>
      <xdr:col>31</xdr:col>
      <xdr:colOff>1</xdr:colOff>
      <xdr:row>12</xdr:row>
      <xdr:rowOff>83344</xdr:rowOff>
    </xdr:from>
    <xdr:to>
      <xdr:col>35</xdr:col>
      <xdr:colOff>381000</xdr:colOff>
      <xdr:row>16</xdr:row>
      <xdr:rowOff>178329</xdr:rowOff>
    </xdr:to>
    <xdr:sp macro="" textlink="">
      <xdr:nvSpPr>
        <xdr:cNvPr id="67" name="TextBox 66">
          <a:extLst>
            <a:ext uri="{FF2B5EF4-FFF2-40B4-BE49-F238E27FC236}">
              <a16:creationId xmlns:a16="http://schemas.microsoft.com/office/drawing/2014/main" id="{A2B3A01B-07C0-40DB-BC0E-69DAECE0B102}"/>
            </a:ext>
          </a:extLst>
        </xdr:cNvPr>
        <xdr:cNvSpPr txBox="1"/>
      </xdr:nvSpPr>
      <xdr:spPr>
        <a:xfrm>
          <a:off x="21871782" y="2821782"/>
          <a:ext cx="3286124" cy="952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b="1" i="0">
              <a:solidFill>
                <a:schemeClr val="dk1"/>
              </a:solidFill>
              <a:effectLst/>
              <a:latin typeface="+mn-lt"/>
              <a:ea typeface="+mn-ea"/>
              <a:cs typeface="+mn-cs"/>
            </a:rPr>
            <a:t>Let op:</a:t>
          </a:r>
          <a:endParaRPr lang="nl-NL" sz="1100" b="0" i="0">
            <a:solidFill>
              <a:schemeClr val="dk1"/>
            </a:solidFill>
            <a:effectLst/>
            <a:latin typeface="+mn-lt"/>
            <a:ea typeface="+mn-ea"/>
            <a:cs typeface="+mn-cs"/>
          </a:endParaRPr>
        </a:p>
        <a:p>
          <a:r>
            <a:rPr lang="nl-NL" sz="1100" b="0" i="0">
              <a:solidFill>
                <a:schemeClr val="dk1"/>
              </a:solidFill>
              <a:effectLst/>
              <a:latin typeface="+mn-lt"/>
              <a:ea typeface="+mn-ea"/>
              <a:cs typeface="+mn-cs"/>
            </a:rPr>
            <a:t>In een warmtenet is er altijd een deel pieklast.</a:t>
          </a:r>
          <a:r>
            <a:rPr lang="nl-NL" sz="1100" b="0" i="0" baseline="0">
              <a:solidFill>
                <a:schemeClr val="dk1"/>
              </a:solidFill>
              <a:effectLst/>
              <a:latin typeface="+mn-lt"/>
              <a:ea typeface="+mn-ea"/>
              <a:cs typeface="+mn-cs"/>
            </a:rPr>
            <a:t> De hoeveelheid pieklast benodigd hangt af van de belastingduurcurve van het net en het type bronnen (basislast bronnen).</a:t>
          </a:r>
          <a:endParaRPr lang="nl-NL" sz="1100" b="0" i="0">
            <a:solidFill>
              <a:schemeClr val="dk1"/>
            </a:solidFill>
            <a:effectLst/>
            <a:latin typeface="+mn-lt"/>
            <a:ea typeface="+mn-ea"/>
            <a:cs typeface="+mn-cs"/>
          </a:endParaRPr>
        </a:p>
        <a:p>
          <a:endParaRPr lang="nl-NL" sz="1100" b="0" i="0">
            <a:solidFill>
              <a:schemeClr val="dk1"/>
            </a:solidFill>
            <a:effectLst/>
            <a:latin typeface="+mn-lt"/>
            <a:ea typeface="+mn-ea"/>
            <a:cs typeface="+mn-cs"/>
          </a:endParaRPr>
        </a:p>
      </xdr:txBody>
    </xdr:sp>
    <xdr:clientData/>
  </xdr:twoCellAnchor>
  <xdr:twoCellAnchor>
    <xdr:from>
      <xdr:col>3</xdr:col>
      <xdr:colOff>142871</xdr:colOff>
      <xdr:row>22</xdr:row>
      <xdr:rowOff>167146</xdr:rowOff>
    </xdr:from>
    <xdr:to>
      <xdr:col>35</xdr:col>
      <xdr:colOff>43825</xdr:colOff>
      <xdr:row>33</xdr:row>
      <xdr:rowOff>144015</xdr:rowOff>
    </xdr:to>
    <xdr:grpSp>
      <xdr:nvGrpSpPr>
        <xdr:cNvPr id="71" name="Group 70">
          <a:extLst>
            <a:ext uri="{FF2B5EF4-FFF2-40B4-BE49-F238E27FC236}">
              <a16:creationId xmlns:a16="http://schemas.microsoft.com/office/drawing/2014/main" id="{A4A80899-E02B-4227-988E-FA59873E03BE}"/>
            </a:ext>
          </a:extLst>
        </xdr:cNvPr>
        <xdr:cNvGrpSpPr/>
      </xdr:nvGrpSpPr>
      <xdr:grpSpPr>
        <a:xfrm flipH="1">
          <a:off x="2381246" y="5001084"/>
          <a:ext cx="22439485" cy="2072369"/>
          <a:chOff x="3978741" y="3617578"/>
          <a:chExt cx="17811667" cy="1817612"/>
        </a:xfrm>
      </xdr:grpSpPr>
      <xdr:grpSp>
        <xdr:nvGrpSpPr>
          <xdr:cNvPr id="15" name="Group 14">
            <a:extLst>
              <a:ext uri="{FF2B5EF4-FFF2-40B4-BE49-F238E27FC236}">
                <a16:creationId xmlns:a16="http://schemas.microsoft.com/office/drawing/2014/main" id="{7E11F0E2-DD42-47CB-99ED-95C140DC37B9}"/>
              </a:ext>
            </a:extLst>
          </xdr:cNvPr>
          <xdr:cNvGrpSpPr/>
        </xdr:nvGrpSpPr>
        <xdr:grpSpPr>
          <a:xfrm>
            <a:off x="3978741" y="3617578"/>
            <a:ext cx="17811667" cy="1817612"/>
            <a:chOff x="4068844" y="3381303"/>
            <a:chExt cx="16664150" cy="2307346"/>
          </a:xfrm>
        </xdr:grpSpPr>
        <xdr:grpSp>
          <xdr:nvGrpSpPr>
            <xdr:cNvPr id="11" name="Group 10">
              <a:extLst>
                <a:ext uri="{FF2B5EF4-FFF2-40B4-BE49-F238E27FC236}">
                  <a16:creationId xmlns:a16="http://schemas.microsoft.com/office/drawing/2014/main" id="{F57BBB3E-3A97-4DAB-BB32-95E4BAAD9CBD}"/>
                </a:ext>
              </a:extLst>
            </xdr:cNvPr>
            <xdr:cNvGrpSpPr/>
          </xdr:nvGrpSpPr>
          <xdr:grpSpPr>
            <a:xfrm>
              <a:off x="4068844" y="3381303"/>
              <a:ext cx="16664150" cy="2307346"/>
              <a:chOff x="4108133" y="3522823"/>
              <a:chExt cx="16684497" cy="2335888"/>
            </a:xfrm>
          </xdr:grpSpPr>
          <xdr:cxnSp macro="">
            <xdr:nvCxnSpPr>
              <xdr:cNvPr id="62" name="Straight Connector 61">
                <a:extLst>
                  <a:ext uri="{FF2B5EF4-FFF2-40B4-BE49-F238E27FC236}">
                    <a16:creationId xmlns:a16="http://schemas.microsoft.com/office/drawing/2014/main" id="{ED4FCD47-1B71-409B-B7C1-3EC761D7ECC3}"/>
                  </a:ext>
                </a:extLst>
              </xdr:cNvPr>
              <xdr:cNvCxnSpPr/>
            </xdr:nvCxnSpPr>
            <xdr:spPr>
              <a:xfrm flipH="1" flipV="1">
                <a:off x="14147121" y="5401051"/>
                <a:ext cx="4021" cy="431003"/>
              </a:xfrm>
              <a:prstGeom prst="line">
                <a:avLst/>
              </a:prstGeom>
            </xdr:spPr>
            <xdr:style>
              <a:lnRef idx="2">
                <a:schemeClr val="dk1"/>
              </a:lnRef>
              <a:fillRef idx="0">
                <a:schemeClr val="dk1"/>
              </a:fillRef>
              <a:effectRef idx="1">
                <a:schemeClr val="dk1"/>
              </a:effectRef>
              <a:fontRef idx="minor">
                <a:schemeClr val="tx1"/>
              </a:fontRef>
            </xdr:style>
          </xdr:cxnSp>
          <xdr:grpSp>
            <xdr:nvGrpSpPr>
              <xdr:cNvPr id="10" name="Group 9">
                <a:extLst>
                  <a:ext uri="{FF2B5EF4-FFF2-40B4-BE49-F238E27FC236}">
                    <a16:creationId xmlns:a16="http://schemas.microsoft.com/office/drawing/2014/main" id="{64A251E7-5EA4-4A3B-955F-AF99EC919A21}"/>
                  </a:ext>
                </a:extLst>
              </xdr:cNvPr>
              <xdr:cNvGrpSpPr/>
            </xdr:nvGrpSpPr>
            <xdr:grpSpPr>
              <a:xfrm>
                <a:off x="4108133" y="3522823"/>
                <a:ext cx="16684497" cy="2335888"/>
                <a:chOff x="4231958" y="3408523"/>
                <a:chExt cx="16684497" cy="2335888"/>
              </a:xfrm>
            </xdr:grpSpPr>
            <xdr:grpSp>
              <xdr:nvGrpSpPr>
                <xdr:cNvPr id="9" name="Group 8">
                  <a:extLst>
                    <a:ext uri="{FF2B5EF4-FFF2-40B4-BE49-F238E27FC236}">
                      <a16:creationId xmlns:a16="http://schemas.microsoft.com/office/drawing/2014/main" id="{662BAFD5-427C-4394-B799-A685E726D80F}"/>
                    </a:ext>
                  </a:extLst>
                </xdr:cNvPr>
                <xdr:cNvGrpSpPr/>
              </xdr:nvGrpSpPr>
              <xdr:grpSpPr>
                <a:xfrm>
                  <a:off x="4231958" y="3408523"/>
                  <a:ext cx="16684497" cy="2335888"/>
                  <a:chOff x="3974783" y="3465673"/>
                  <a:chExt cx="16684497" cy="2335888"/>
                </a:xfrm>
              </xdr:grpSpPr>
              <xdr:cxnSp macro="">
                <xdr:nvCxnSpPr>
                  <xdr:cNvPr id="55" name="Straight Connector 54">
                    <a:extLst>
                      <a:ext uri="{FF2B5EF4-FFF2-40B4-BE49-F238E27FC236}">
                        <a16:creationId xmlns:a16="http://schemas.microsoft.com/office/drawing/2014/main" id="{58EEB50A-E4C7-49B1-B802-EBAB855D6AA7}"/>
                      </a:ext>
                    </a:extLst>
                  </xdr:cNvPr>
                  <xdr:cNvCxnSpPr/>
                </xdr:nvCxnSpPr>
                <xdr:spPr>
                  <a:xfrm flipH="1" flipV="1">
                    <a:off x="11193580" y="5353084"/>
                    <a:ext cx="1462" cy="419774"/>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53" name="Straight Connector 52">
                    <a:extLst>
                      <a:ext uri="{FF2B5EF4-FFF2-40B4-BE49-F238E27FC236}">
                        <a16:creationId xmlns:a16="http://schemas.microsoft.com/office/drawing/2014/main" id="{A42D3037-0A2A-4025-807C-2866B1A14548}"/>
                      </a:ext>
                    </a:extLst>
                  </xdr:cNvPr>
                  <xdr:cNvCxnSpPr/>
                </xdr:nvCxnSpPr>
                <xdr:spPr>
                  <a:xfrm flipH="1" flipV="1">
                    <a:off x="5383916" y="5327370"/>
                    <a:ext cx="881" cy="474191"/>
                  </a:xfrm>
                  <a:prstGeom prst="line">
                    <a:avLst/>
                  </a:prstGeom>
                </xdr:spPr>
                <xdr:style>
                  <a:lnRef idx="2">
                    <a:schemeClr val="dk1"/>
                  </a:lnRef>
                  <a:fillRef idx="0">
                    <a:schemeClr val="dk1"/>
                  </a:fillRef>
                  <a:effectRef idx="1">
                    <a:schemeClr val="dk1"/>
                  </a:effectRef>
                  <a:fontRef idx="minor">
                    <a:schemeClr val="tx1"/>
                  </a:fontRef>
                </xdr:style>
              </xdr:cxnSp>
              <xdr:grpSp>
                <xdr:nvGrpSpPr>
                  <xdr:cNvPr id="8" name="Group 7">
                    <a:extLst>
                      <a:ext uri="{FF2B5EF4-FFF2-40B4-BE49-F238E27FC236}">
                        <a16:creationId xmlns:a16="http://schemas.microsoft.com/office/drawing/2014/main" id="{568DBADB-D187-4E4B-91C3-62A759430239}"/>
                      </a:ext>
                    </a:extLst>
                  </xdr:cNvPr>
                  <xdr:cNvGrpSpPr/>
                </xdr:nvGrpSpPr>
                <xdr:grpSpPr>
                  <a:xfrm>
                    <a:off x="3974783" y="3465673"/>
                    <a:ext cx="16684497" cy="2334447"/>
                    <a:chOff x="3974783" y="3465673"/>
                    <a:chExt cx="16684497" cy="2334447"/>
                  </a:xfrm>
                </xdr:grpSpPr>
                <xdr:grpSp>
                  <xdr:nvGrpSpPr>
                    <xdr:cNvPr id="7" name="Group 6">
                      <a:extLst>
                        <a:ext uri="{FF2B5EF4-FFF2-40B4-BE49-F238E27FC236}">
                          <a16:creationId xmlns:a16="http://schemas.microsoft.com/office/drawing/2014/main" id="{28988121-954D-4BE8-A313-1D0FE314FBC8}"/>
                        </a:ext>
                      </a:extLst>
                    </xdr:cNvPr>
                    <xdr:cNvGrpSpPr/>
                  </xdr:nvGrpSpPr>
                  <xdr:grpSpPr>
                    <a:xfrm>
                      <a:off x="3974783" y="3465673"/>
                      <a:ext cx="16684497" cy="2334447"/>
                      <a:chOff x="3974783" y="3465673"/>
                      <a:chExt cx="16684497" cy="2334447"/>
                    </a:xfrm>
                  </xdr:grpSpPr>
                  <xdr:grpSp>
                    <xdr:nvGrpSpPr>
                      <xdr:cNvPr id="6" name="Group 5">
                        <a:extLst>
                          <a:ext uri="{FF2B5EF4-FFF2-40B4-BE49-F238E27FC236}">
                            <a16:creationId xmlns:a16="http://schemas.microsoft.com/office/drawing/2014/main" id="{E387BF33-9BBE-4E4D-9BB0-43CF6908F6BE}"/>
                          </a:ext>
                        </a:extLst>
                      </xdr:cNvPr>
                      <xdr:cNvGrpSpPr/>
                    </xdr:nvGrpSpPr>
                    <xdr:grpSpPr>
                      <a:xfrm>
                        <a:off x="3974783" y="3465673"/>
                        <a:ext cx="16684497" cy="2334447"/>
                        <a:chOff x="4050983" y="3446623"/>
                        <a:chExt cx="16684497" cy="2334447"/>
                      </a:xfrm>
                    </xdr:grpSpPr>
                    <xdr:grpSp>
                      <xdr:nvGrpSpPr>
                        <xdr:cNvPr id="2" name="Group 1">
                          <a:extLst>
                            <a:ext uri="{FF2B5EF4-FFF2-40B4-BE49-F238E27FC236}">
                              <a16:creationId xmlns:a16="http://schemas.microsoft.com/office/drawing/2014/main" id="{8F0104C8-9EF6-49C9-A08C-8C3BDED3626B}"/>
                            </a:ext>
                          </a:extLst>
                        </xdr:cNvPr>
                        <xdr:cNvGrpSpPr/>
                      </xdr:nvGrpSpPr>
                      <xdr:grpSpPr>
                        <a:xfrm flipV="1">
                          <a:off x="17402300" y="3446623"/>
                          <a:ext cx="3333180" cy="2334446"/>
                          <a:chOff x="5104518" y="2783295"/>
                          <a:chExt cx="5054309" cy="1961868"/>
                        </a:xfrm>
                      </xdr:grpSpPr>
                      <xdr:cxnSp macro="">
                        <xdr:nvCxnSpPr>
                          <xdr:cNvPr id="30" name="Straight Connector 29">
                            <a:extLst>
                              <a:ext uri="{FF2B5EF4-FFF2-40B4-BE49-F238E27FC236}">
                                <a16:creationId xmlns:a16="http://schemas.microsoft.com/office/drawing/2014/main" id="{9166DCF2-5CA6-4251-A453-CE36E334C778}"/>
                              </a:ext>
                            </a:extLst>
                          </xdr:cNvPr>
                          <xdr:cNvCxnSpPr/>
                        </xdr:nvCxnSpPr>
                        <xdr:spPr>
                          <a:xfrm flipH="1">
                            <a:off x="8266248" y="2783295"/>
                            <a:ext cx="5221" cy="835895"/>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32" name="Straight Connector 31">
                            <a:extLst>
                              <a:ext uri="{FF2B5EF4-FFF2-40B4-BE49-F238E27FC236}">
                                <a16:creationId xmlns:a16="http://schemas.microsoft.com/office/drawing/2014/main" id="{3754FFA4-569C-48B7-AC91-AC6EC3CD609E}"/>
                              </a:ext>
                            </a:extLst>
                          </xdr:cNvPr>
                          <xdr:cNvCxnSpPr/>
                        </xdr:nvCxnSpPr>
                        <xdr:spPr>
                          <a:xfrm flipV="1">
                            <a:off x="5104518" y="2790984"/>
                            <a:ext cx="2383063" cy="7104"/>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33" name="Straight Connector 32">
                            <a:extLst>
                              <a:ext uri="{FF2B5EF4-FFF2-40B4-BE49-F238E27FC236}">
                                <a16:creationId xmlns:a16="http://schemas.microsoft.com/office/drawing/2014/main" id="{B5844570-289B-4485-8637-0CFA466B2470}"/>
                              </a:ext>
                            </a:extLst>
                          </xdr:cNvPr>
                          <xdr:cNvCxnSpPr>
                            <a:cxnSpLocks/>
                          </xdr:cNvCxnSpPr>
                        </xdr:nvCxnSpPr>
                        <xdr:spPr>
                          <a:xfrm>
                            <a:off x="8284950" y="3618880"/>
                            <a:ext cx="410759" cy="1823"/>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35" name="Straight Connector 34">
                            <a:extLst>
                              <a:ext uri="{FF2B5EF4-FFF2-40B4-BE49-F238E27FC236}">
                                <a16:creationId xmlns:a16="http://schemas.microsoft.com/office/drawing/2014/main" id="{49A5ECE3-774F-40C1-86AB-033F72D5B7C5}"/>
                              </a:ext>
                            </a:extLst>
                          </xdr:cNvPr>
                          <xdr:cNvCxnSpPr>
                            <a:cxnSpLocks/>
                          </xdr:cNvCxnSpPr>
                        </xdr:nvCxnSpPr>
                        <xdr:spPr>
                          <a:xfrm flipH="1">
                            <a:off x="8695444" y="2971063"/>
                            <a:ext cx="6205" cy="1282019"/>
                          </a:xfrm>
                          <a:prstGeom prst="line">
                            <a:avLst/>
                          </a:prstGeom>
                          <a:ln w="12700"/>
                        </xdr:spPr>
                        <xdr:style>
                          <a:lnRef idx="2">
                            <a:schemeClr val="dk1"/>
                          </a:lnRef>
                          <a:fillRef idx="0">
                            <a:schemeClr val="dk1"/>
                          </a:fillRef>
                          <a:effectRef idx="1">
                            <a:schemeClr val="dk1"/>
                          </a:effectRef>
                          <a:fontRef idx="minor">
                            <a:schemeClr val="tx1"/>
                          </a:fontRef>
                        </xdr:style>
                      </xdr:cxnSp>
                      <xdr:cxnSp macro="">
                        <xdr:nvCxnSpPr>
                          <xdr:cNvPr id="36" name="Straight Connector 35">
                            <a:extLst>
                              <a:ext uri="{FF2B5EF4-FFF2-40B4-BE49-F238E27FC236}">
                                <a16:creationId xmlns:a16="http://schemas.microsoft.com/office/drawing/2014/main" id="{985AEA82-3BC6-4250-BECE-2E9AAE8B8683}"/>
                              </a:ext>
                            </a:extLst>
                          </xdr:cNvPr>
                          <xdr:cNvCxnSpPr/>
                        </xdr:nvCxnSpPr>
                        <xdr:spPr>
                          <a:xfrm>
                            <a:off x="8684804" y="4256026"/>
                            <a:ext cx="684055" cy="0"/>
                          </a:xfrm>
                          <a:prstGeom prst="line">
                            <a:avLst/>
                          </a:prstGeom>
                          <a:ln w="12700"/>
                        </xdr:spPr>
                        <xdr:style>
                          <a:lnRef idx="2">
                            <a:schemeClr val="dk1"/>
                          </a:lnRef>
                          <a:fillRef idx="0">
                            <a:schemeClr val="dk1"/>
                          </a:fillRef>
                          <a:effectRef idx="1">
                            <a:schemeClr val="dk1"/>
                          </a:effectRef>
                          <a:fontRef idx="minor">
                            <a:schemeClr val="tx1"/>
                          </a:fontRef>
                        </xdr:style>
                      </xdr:cxnSp>
                      <xdr:cxnSp macro="">
                        <xdr:nvCxnSpPr>
                          <xdr:cNvPr id="37" name="Straight Connector 36">
                            <a:extLst>
                              <a:ext uri="{FF2B5EF4-FFF2-40B4-BE49-F238E27FC236}">
                                <a16:creationId xmlns:a16="http://schemas.microsoft.com/office/drawing/2014/main" id="{9BF8A8C4-3C03-4901-9B18-7A4743A7ABD7}"/>
                              </a:ext>
                            </a:extLst>
                          </xdr:cNvPr>
                          <xdr:cNvCxnSpPr/>
                        </xdr:nvCxnSpPr>
                        <xdr:spPr>
                          <a:xfrm>
                            <a:off x="8696155" y="3887514"/>
                            <a:ext cx="684055" cy="0"/>
                          </a:xfrm>
                          <a:prstGeom prst="line">
                            <a:avLst/>
                          </a:prstGeom>
                          <a:ln w="12700"/>
                        </xdr:spPr>
                        <xdr:style>
                          <a:lnRef idx="2">
                            <a:schemeClr val="dk1"/>
                          </a:lnRef>
                          <a:fillRef idx="0">
                            <a:schemeClr val="dk1"/>
                          </a:fillRef>
                          <a:effectRef idx="1">
                            <a:schemeClr val="dk1"/>
                          </a:effectRef>
                          <a:fontRef idx="minor">
                            <a:schemeClr val="tx1"/>
                          </a:fontRef>
                        </xdr:style>
                      </xdr:cxnSp>
                      <xdr:cxnSp macro="">
                        <xdr:nvCxnSpPr>
                          <xdr:cNvPr id="38" name="Straight Connector 37">
                            <a:extLst>
                              <a:ext uri="{FF2B5EF4-FFF2-40B4-BE49-F238E27FC236}">
                                <a16:creationId xmlns:a16="http://schemas.microsoft.com/office/drawing/2014/main" id="{8F2FB0B6-EB6E-4A12-A34B-253644068E50}"/>
                              </a:ext>
                            </a:extLst>
                          </xdr:cNvPr>
                          <xdr:cNvCxnSpPr/>
                        </xdr:nvCxnSpPr>
                        <xdr:spPr>
                          <a:xfrm>
                            <a:off x="8694830" y="3402854"/>
                            <a:ext cx="665440" cy="0"/>
                          </a:xfrm>
                          <a:prstGeom prst="line">
                            <a:avLst/>
                          </a:prstGeom>
                          <a:ln w="12700"/>
                        </xdr:spPr>
                        <xdr:style>
                          <a:lnRef idx="2">
                            <a:schemeClr val="dk1"/>
                          </a:lnRef>
                          <a:fillRef idx="0">
                            <a:schemeClr val="dk1"/>
                          </a:fillRef>
                          <a:effectRef idx="1">
                            <a:schemeClr val="dk1"/>
                          </a:effectRef>
                          <a:fontRef idx="minor">
                            <a:schemeClr val="tx1"/>
                          </a:fontRef>
                        </xdr:style>
                      </xdr:cxnSp>
                      <xdr:cxnSp macro="">
                        <xdr:nvCxnSpPr>
                          <xdr:cNvPr id="39" name="Straight Connector 38">
                            <a:extLst>
                              <a:ext uri="{FF2B5EF4-FFF2-40B4-BE49-F238E27FC236}">
                                <a16:creationId xmlns:a16="http://schemas.microsoft.com/office/drawing/2014/main" id="{9B06A3E6-9B35-4830-B088-F4C8D4CACF49}"/>
                              </a:ext>
                            </a:extLst>
                          </xdr:cNvPr>
                          <xdr:cNvCxnSpPr/>
                        </xdr:nvCxnSpPr>
                        <xdr:spPr>
                          <a:xfrm>
                            <a:off x="8686241" y="2979052"/>
                            <a:ext cx="684055" cy="0"/>
                          </a:xfrm>
                          <a:prstGeom prst="line">
                            <a:avLst/>
                          </a:prstGeom>
                          <a:ln w="12700"/>
                        </xdr:spPr>
                        <xdr:style>
                          <a:lnRef idx="2">
                            <a:schemeClr val="dk1"/>
                          </a:lnRef>
                          <a:fillRef idx="0">
                            <a:schemeClr val="dk1"/>
                          </a:fillRef>
                          <a:effectRef idx="1">
                            <a:schemeClr val="dk1"/>
                          </a:effectRef>
                          <a:fontRef idx="minor">
                            <a:schemeClr val="tx1"/>
                          </a:fontRef>
                        </xdr:style>
                      </xdr:cxnSp>
                      <xdr:grpSp>
                        <xdr:nvGrpSpPr>
                          <xdr:cNvPr id="40" name="Group 39">
                            <a:extLst>
                              <a:ext uri="{FF2B5EF4-FFF2-40B4-BE49-F238E27FC236}">
                                <a16:creationId xmlns:a16="http://schemas.microsoft.com/office/drawing/2014/main" id="{A8C32161-29FA-4A1F-96A2-71847E49D49D}"/>
                              </a:ext>
                            </a:extLst>
                          </xdr:cNvPr>
                          <xdr:cNvGrpSpPr/>
                        </xdr:nvGrpSpPr>
                        <xdr:grpSpPr>
                          <a:xfrm>
                            <a:off x="9363347" y="4103204"/>
                            <a:ext cx="790536" cy="641959"/>
                            <a:chOff x="5452689" y="5301790"/>
                            <a:chExt cx="934667" cy="1224268"/>
                          </a:xfrm>
                        </xdr:grpSpPr>
                        <xdr:sp macro="" textlink="">
                          <xdr:nvSpPr>
                            <xdr:cNvPr id="50" name="Isosceles Triangle 49">
                              <a:extLst>
                                <a:ext uri="{FF2B5EF4-FFF2-40B4-BE49-F238E27FC236}">
                                  <a16:creationId xmlns:a16="http://schemas.microsoft.com/office/drawing/2014/main" id="{22F20C4A-B323-4737-85D6-6FC442439983}"/>
                                </a:ext>
                              </a:extLst>
                            </xdr:cNvPr>
                            <xdr:cNvSpPr/>
                          </xdr:nvSpPr>
                          <xdr:spPr>
                            <a:xfrm flipV="1">
                              <a:off x="5462583" y="5946657"/>
                              <a:ext cx="924773" cy="579401"/>
                            </a:xfrm>
                            <a:prstGeom prst="triangle">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51" name="Rectangle 50">
                              <a:extLst>
                                <a:ext uri="{FF2B5EF4-FFF2-40B4-BE49-F238E27FC236}">
                                  <a16:creationId xmlns:a16="http://schemas.microsoft.com/office/drawing/2014/main" id="{951F4FFA-4687-43B1-8397-96A1B1A4FC95}"/>
                                </a:ext>
                              </a:extLst>
                            </xdr:cNvPr>
                            <xdr:cNvSpPr/>
                          </xdr:nvSpPr>
                          <xdr:spPr>
                            <a:xfrm>
                              <a:off x="5452689" y="5301790"/>
                              <a:ext cx="924773" cy="624820"/>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41" name="Group 40">
                            <a:extLst>
                              <a:ext uri="{FF2B5EF4-FFF2-40B4-BE49-F238E27FC236}">
                                <a16:creationId xmlns:a16="http://schemas.microsoft.com/office/drawing/2014/main" id="{C3D163A0-0367-47D4-B507-3C5910B7C6AF}"/>
                              </a:ext>
                            </a:extLst>
                          </xdr:cNvPr>
                          <xdr:cNvGrpSpPr/>
                        </xdr:nvGrpSpPr>
                        <xdr:grpSpPr>
                          <a:xfrm>
                            <a:off x="9362978" y="3697733"/>
                            <a:ext cx="782167" cy="644797"/>
                            <a:chOff x="5415807" y="3625869"/>
                            <a:chExt cx="924773" cy="1229682"/>
                          </a:xfrm>
                        </xdr:grpSpPr>
                        <xdr:sp macro="" textlink="">
                          <xdr:nvSpPr>
                            <xdr:cNvPr id="48" name="Isosceles Triangle 47">
                              <a:extLst>
                                <a:ext uri="{FF2B5EF4-FFF2-40B4-BE49-F238E27FC236}">
                                  <a16:creationId xmlns:a16="http://schemas.microsoft.com/office/drawing/2014/main" id="{EAA5A640-B791-4021-9B87-56134FABEE6D}"/>
                                </a:ext>
                              </a:extLst>
                            </xdr:cNvPr>
                            <xdr:cNvSpPr/>
                          </xdr:nvSpPr>
                          <xdr:spPr>
                            <a:xfrm flipV="1">
                              <a:off x="5415807" y="4270775"/>
                              <a:ext cx="924772" cy="584776"/>
                            </a:xfrm>
                            <a:prstGeom prst="triangle">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49" name="Rectangle 48">
                              <a:extLst>
                                <a:ext uri="{FF2B5EF4-FFF2-40B4-BE49-F238E27FC236}">
                                  <a16:creationId xmlns:a16="http://schemas.microsoft.com/office/drawing/2014/main" id="{920F23A5-B149-400E-A5DE-D6EF8A570BD9}"/>
                                </a:ext>
                              </a:extLst>
                            </xdr:cNvPr>
                            <xdr:cNvSpPr/>
                          </xdr:nvSpPr>
                          <xdr:spPr>
                            <a:xfrm>
                              <a:off x="5415807" y="3625869"/>
                              <a:ext cx="924773" cy="624819"/>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42" name="Group 41">
                            <a:extLst>
                              <a:ext uri="{FF2B5EF4-FFF2-40B4-BE49-F238E27FC236}">
                                <a16:creationId xmlns:a16="http://schemas.microsoft.com/office/drawing/2014/main" id="{FDB7FD0B-7D5F-4E86-941C-E3BB6449569B}"/>
                              </a:ext>
                            </a:extLst>
                          </xdr:cNvPr>
                          <xdr:cNvGrpSpPr/>
                        </xdr:nvGrpSpPr>
                        <xdr:grpSpPr>
                          <a:xfrm>
                            <a:off x="9353083" y="3164994"/>
                            <a:ext cx="796625" cy="394037"/>
                            <a:chOff x="5367655" y="1707231"/>
                            <a:chExt cx="941867" cy="751459"/>
                          </a:xfrm>
                        </xdr:grpSpPr>
                        <xdr:sp macro="" textlink="">
                          <xdr:nvSpPr>
                            <xdr:cNvPr id="47" name="Rectangle 46">
                              <a:extLst>
                                <a:ext uri="{FF2B5EF4-FFF2-40B4-BE49-F238E27FC236}">
                                  <a16:creationId xmlns:a16="http://schemas.microsoft.com/office/drawing/2014/main" id="{CCD3A3B5-07E1-4CB5-9492-E121F5C0AAE2}"/>
                                </a:ext>
                              </a:extLst>
                            </xdr:cNvPr>
                            <xdr:cNvSpPr/>
                          </xdr:nvSpPr>
                          <xdr:spPr>
                            <a:xfrm>
                              <a:off x="5367655" y="1833872"/>
                              <a:ext cx="924773" cy="624818"/>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46" name="Isosceles Triangle 45">
                              <a:extLst>
                                <a:ext uri="{FF2B5EF4-FFF2-40B4-BE49-F238E27FC236}">
                                  <a16:creationId xmlns:a16="http://schemas.microsoft.com/office/drawing/2014/main" id="{9A967B18-7C0F-4449-B422-8CF8299261D2}"/>
                                </a:ext>
                              </a:extLst>
                            </xdr:cNvPr>
                            <xdr:cNvSpPr/>
                          </xdr:nvSpPr>
                          <xdr:spPr>
                            <a:xfrm flipV="1">
                              <a:off x="5384749" y="1707231"/>
                              <a:ext cx="924773" cy="590148"/>
                            </a:xfrm>
                            <a:prstGeom prst="triangle">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43" name="Group 42">
                            <a:extLst>
                              <a:ext uri="{FF2B5EF4-FFF2-40B4-BE49-F238E27FC236}">
                                <a16:creationId xmlns:a16="http://schemas.microsoft.com/office/drawing/2014/main" id="{05C5924D-795B-4DAD-8AB8-739990982204}"/>
                              </a:ext>
                            </a:extLst>
                          </xdr:cNvPr>
                          <xdr:cNvGrpSpPr/>
                        </xdr:nvGrpSpPr>
                        <xdr:grpSpPr>
                          <a:xfrm>
                            <a:off x="9340920" y="2823574"/>
                            <a:ext cx="817907" cy="1047331"/>
                            <a:chOff x="5316822" y="153462"/>
                            <a:chExt cx="967029" cy="1997352"/>
                          </a:xfrm>
                        </xdr:grpSpPr>
                        <xdr:sp macro="" textlink="">
                          <xdr:nvSpPr>
                            <xdr:cNvPr id="45" name="Rectangle 44">
                              <a:extLst>
                                <a:ext uri="{FF2B5EF4-FFF2-40B4-BE49-F238E27FC236}">
                                  <a16:creationId xmlns:a16="http://schemas.microsoft.com/office/drawing/2014/main" id="{0C5972AB-CC22-4A2F-B975-8D072753DD55}"/>
                                </a:ext>
                              </a:extLst>
                            </xdr:cNvPr>
                            <xdr:cNvSpPr/>
                          </xdr:nvSpPr>
                          <xdr:spPr>
                            <a:xfrm>
                              <a:off x="5359078" y="153462"/>
                              <a:ext cx="924773" cy="624821"/>
                            </a:xfrm>
                            <a:prstGeom prst="rect">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44" name="Isosceles Triangle 43">
                              <a:extLst>
                                <a:ext uri="{FF2B5EF4-FFF2-40B4-BE49-F238E27FC236}">
                                  <a16:creationId xmlns:a16="http://schemas.microsoft.com/office/drawing/2014/main" id="{3196EEDF-F852-456E-A791-08EA85F03400}"/>
                                </a:ext>
                              </a:extLst>
                            </xdr:cNvPr>
                            <xdr:cNvSpPr/>
                          </xdr:nvSpPr>
                          <xdr:spPr>
                            <a:xfrm flipV="1">
                              <a:off x="5316822" y="1576156"/>
                              <a:ext cx="924773" cy="574658"/>
                            </a:xfrm>
                            <a:prstGeom prst="triangle">
                              <a:avLst/>
                            </a:prstGeom>
                            <a:solidFill>
                              <a:schemeClr val="bg1">
                                <a:lumMod val="65000"/>
                              </a:schemeClr>
                            </a:solidFill>
                            <a:ln>
                              <a:solidFill>
                                <a:schemeClr val="bg1">
                                  <a:lumMod val="75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grpSp>
                      <xdr:nvGrpSpPr>
                        <xdr:cNvPr id="3" name="Group 2">
                          <a:extLst>
                            <a:ext uri="{FF2B5EF4-FFF2-40B4-BE49-F238E27FC236}">
                              <a16:creationId xmlns:a16="http://schemas.microsoft.com/office/drawing/2014/main" id="{4893676C-7DB1-4330-9911-E7E6A0CBEB2C}"/>
                            </a:ext>
                          </a:extLst>
                        </xdr:cNvPr>
                        <xdr:cNvGrpSpPr/>
                      </xdr:nvGrpSpPr>
                      <xdr:grpSpPr>
                        <a:xfrm flipV="1">
                          <a:off x="4050983" y="4406267"/>
                          <a:ext cx="13404639" cy="1374803"/>
                          <a:chOff x="665724" y="3290700"/>
                          <a:chExt cx="4674276" cy="1291644"/>
                        </a:xfrm>
                      </xdr:grpSpPr>
                      <xdr:cxnSp macro="">
                        <xdr:nvCxnSpPr>
                          <xdr:cNvPr id="26" name="Straight Connector 25">
                            <a:extLst>
                              <a:ext uri="{FF2B5EF4-FFF2-40B4-BE49-F238E27FC236}">
                                <a16:creationId xmlns:a16="http://schemas.microsoft.com/office/drawing/2014/main" id="{35E4024D-099F-4CFC-A068-51EE502DE59F}"/>
                              </a:ext>
                            </a:extLst>
                          </xdr:cNvPr>
                          <xdr:cNvCxnSpPr/>
                        </xdr:nvCxnSpPr>
                        <xdr:spPr>
                          <a:xfrm>
                            <a:off x="763939" y="3290700"/>
                            <a:ext cx="4576061" cy="17167"/>
                          </a:xfrm>
                          <a:prstGeom prst="line">
                            <a:avLst/>
                          </a:prstGeom>
                          <a:ln>
                            <a:solidFill>
                              <a:schemeClr val="tx1"/>
                            </a:solidFill>
                          </a:ln>
                        </xdr:spPr>
                        <xdr:style>
                          <a:lnRef idx="2">
                            <a:schemeClr val="accent1"/>
                          </a:lnRef>
                          <a:fillRef idx="0">
                            <a:schemeClr val="accent1"/>
                          </a:fillRef>
                          <a:effectRef idx="1">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60A202C6-E7F3-43B0-9EF5-EFE33FC0DC18}"/>
                              </a:ext>
                            </a:extLst>
                          </xdr:cNvPr>
                          <xdr:cNvCxnSpPr/>
                        </xdr:nvCxnSpPr>
                        <xdr:spPr>
                          <a:xfrm flipH="1">
                            <a:off x="766017" y="3304281"/>
                            <a:ext cx="320" cy="445508"/>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28" name="Straight Connector 27">
                            <a:extLst>
                              <a:ext uri="{FF2B5EF4-FFF2-40B4-BE49-F238E27FC236}">
                                <a16:creationId xmlns:a16="http://schemas.microsoft.com/office/drawing/2014/main" id="{D3A6AB99-17B6-43AB-B9B0-D86EE925AC20}"/>
                              </a:ext>
                            </a:extLst>
                          </xdr:cNvPr>
                          <xdr:cNvCxnSpPr/>
                        </xdr:nvCxnSpPr>
                        <xdr:spPr>
                          <a:xfrm flipH="1">
                            <a:off x="1726185" y="3306518"/>
                            <a:ext cx="2348" cy="410158"/>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29" name="Straight Connector 28">
                            <a:extLst>
                              <a:ext uri="{FF2B5EF4-FFF2-40B4-BE49-F238E27FC236}">
                                <a16:creationId xmlns:a16="http://schemas.microsoft.com/office/drawing/2014/main" id="{AFB39666-2AD8-4A91-ABB3-A6F1B5FC9066}"/>
                              </a:ext>
                            </a:extLst>
                          </xdr:cNvPr>
                          <xdr:cNvCxnSpPr/>
                        </xdr:nvCxnSpPr>
                        <xdr:spPr>
                          <a:xfrm flipH="1">
                            <a:off x="3690765" y="3302045"/>
                            <a:ext cx="1402" cy="404931"/>
                          </a:xfrm>
                          <a:prstGeom prst="line">
                            <a:avLst/>
                          </a:prstGeom>
                        </xdr:spPr>
                        <xdr:style>
                          <a:lnRef idx="2">
                            <a:schemeClr val="dk1"/>
                          </a:lnRef>
                          <a:fillRef idx="0">
                            <a:schemeClr val="dk1"/>
                          </a:fillRef>
                          <a:effectRef idx="1">
                            <a:schemeClr val="dk1"/>
                          </a:effectRef>
                          <a:fontRef idx="minor">
                            <a:schemeClr val="tx1"/>
                          </a:fontRef>
                        </xdr:style>
                      </xdr:cxnSp>
                      <xdr:sp macro="" textlink="">
                        <xdr:nvSpPr>
                          <xdr:cNvPr id="25" name="Rectangle 24">
                            <a:extLst>
                              <a:ext uri="{FF2B5EF4-FFF2-40B4-BE49-F238E27FC236}">
                                <a16:creationId xmlns:a16="http://schemas.microsoft.com/office/drawing/2014/main" id="{21701254-871C-43D3-8530-1F0689BE1A17}"/>
                              </a:ext>
                            </a:extLst>
                          </xdr:cNvPr>
                          <xdr:cNvSpPr/>
                        </xdr:nvSpPr>
                        <xdr:spPr>
                          <a:xfrm>
                            <a:off x="665724" y="3709585"/>
                            <a:ext cx="235180" cy="872759"/>
                          </a:xfrm>
                          <a:prstGeom prst="rect">
                            <a:avLst/>
                          </a:prstGeom>
                          <a:solidFill>
                            <a:schemeClr val="accent3"/>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4" name="Rectangle 23">
                            <a:extLst>
                              <a:ext uri="{FF2B5EF4-FFF2-40B4-BE49-F238E27FC236}">
                                <a16:creationId xmlns:a16="http://schemas.microsoft.com/office/drawing/2014/main" id="{29956347-82B0-4930-BF00-DF254367E909}"/>
                              </a:ext>
                            </a:extLst>
                          </xdr:cNvPr>
                          <xdr:cNvSpPr/>
                        </xdr:nvSpPr>
                        <xdr:spPr>
                          <a:xfrm>
                            <a:off x="3065228" y="3669646"/>
                            <a:ext cx="235180" cy="872759"/>
                          </a:xfrm>
                          <a:prstGeom prst="rect">
                            <a:avLst/>
                          </a:prstGeom>
                          <a:pattFill prst="openDmnd">
                            <a:fgClr>
                              <a:schemeClr val="tx1">
                                <a:lumMod val="65000"/>
                                <a:lumOff val="35000"/>
                              </a:schemeClr>
                            </a:fgClr>
                            <a:bgClr>
                              <a:schemeClr val="accent6"/>
                            </a:bgClr>
                          </a:patt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3" name="Rectangle 22">
                            <a:extLst>
                              <a:ext uri="{FF2B5EF4-FFF2-40B4-BE49-F238E27FC236}">
                                <a16:creationId xmlns:a16="http://schemas.microsoft.com/office/drawing/2014/main" id="{595A5092-8578-47AE-AE11-BC5484F0F851}"/>
                              </a:ext>
                            </a:extLst>
                          </xdr:cNvPr>
                          <xdr:cNvSpPr/>
                        </xdr:nvSpPr>
                        <xdr:spPr>
                          <a:xfrm>
                            <a:off x="4056293" y="3639184"/>
                            <a:ext cx="235180" cy="872759"/>
                          </a:xfrm>
                          <a:prstGeom prst="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nvGrpSpPr>
                        <xdr:cNvPr id="4" name="Group 3">
                          <a:extLst>
                            <a:ext uri="{FF2B5EF4-FFF2-40B4-BE49-F238E27FC236}">
                              <a16:creationId xmlns:a16="http://schemas.microsoft.com/office/drawing/2014/main" id="{1C68CA78-6355-4F75-9CEF-EEA7F2E2BAB5}"/>
                            </a:ext>
                          </a:extLst>
                        </xdr:cNvPr>
                        <xdr:cNvGrpSpPr/>
                      </xdr:nvGrpSpPr>
                      <xdr:grpSpPr>
                        <a:xfrm>
                          <a:off x="16748385" y="3538483"/>
                          <a:ext cx="1815480" cy="2061803"/>
                          <a:chOff x="3888436" y="968477"/>
                          <a:chExt cx="2090647" cy="2000679"/>
                        </a:xfrm>
                      </xdr:grpSpPr>
                      <xdr:grpSp>
                        <xdr:nvGrpSpPr>
                          <xdr:cNvPr id="18" name="Group 17">
                            <a:extLst>
                              <a:ext uri="{FF2B5EF4-FFF2-40B4-BE49-F238E27FC236}">
                                <a16:creationId xmlns:a16="http://schemas.microsoft.com/office/drawing/2014/main" id="{728D006D-B7C4-4930-B3BE-964E95C4D7B8}"/>
                              </a:ext>
                            </a:extLst>
                          </xdr:cNvPr>
                          <xdr:cNvGrpSpPr/>
                        </xdr:nvGrpSpPr>
                        <xdr:grpSpPr>
                          <a:xfrm>
                            <a:off x="4783949" y="2618330"/>
                            <a:ext cx="258544" cy="350826"/>
                            <a:chOff x="8849545" y="3427961"/>
                            <a:chExt cx="609988" cy="758020"/>
                          </a:xfrm>
                        </xdr:grpSpPr>
                        <xdr:sp macro="" textlink="">
                          <xdr:nvSpPr>
                            <xdr:cNvPr id="21" name="Oval 20">
                              <a:extLst>
                                <a:ext uri="{FF2B5EF4-FFF2-40B4-BE49-F238E27FC236}">
                                  <a16:creationId xmlns:a16="http://schemas.microsoft.com/office/drawing/2014/main" id="{8338A9F3-605C-4E98-904D-2A00B790E252}"/>
                                </a:ext>
                              </a:extLst>
                            </xdr:cNvPr>
                            <xdr:cNvSpPr/>
                          </xdr:nvSpPr>
                          <xdr:spPr>
                            <a:xfrm>
                              <a:off x="8849545" y="3427961"/>
                              <a:ext cx="609988" cy="758020"/>
                            </a:xfrm>
                            <a:prstGeom prst="ellipse">
                              <a:avLst/>
                            </a:prstGeom>
                            <a:solidFill>
                              <a:schemeClr val="bg1"/>
                            </a:solidFill>
                            <a:ln w="22225">
                              <a:solidFill>
                                <a:schemeClr val="accent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22" name="Isosceles Triangle 21">
                              <a:extLst>
                                <a:ext uri="{FF2B5EF4-FFF2-40B4-BE49-F238E27FC236}">
                                  <a16:creationId xmlns:a16="http://schemas.microsoft.com/office/drawing/2014/main" id="{1AB2B062-CEDA-4B44-98F3-494537B7A1CF}"/>
                                </a:ext>
                              </a:extLst>
                            </xdr:cNvPr>
                            <xdr:cNvSpPr/>
                          </xdr:nvSpPr>
                          <xdr:spPr>
                            <a:xfrm rot="5400000">
                              <a:off x="8902387" y="3545964"/>
                              <a:ext cx="564971" cy="392148"/>
                            </a:xfrm>
                            <a:prstGeom prst="triangle">
                              <a:avLst/>
                            </a:prstGeom>
                            <a:solidFill>
                              <a:schemeClr val="accent2"/>
                            </a:solidFill>
                            <a:ln>
                              <a:solidFill>
                                <a:schemeClr val="accent2"/>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xnSp macro="">
                        <xdr:nvCxnSpPr>
                          <xdr:cNvPr id="19" name="Straight Arrow Connector 18">
                            <a:extLst>
                              <a:ext uri="{FF2B5EF4-FFF2-40B4-BE49-F238E27FC236}">
                                <a16:creationId xmlns:a16="http://schemas.microsoft.com/office/drawing/2014/main" id="{A2E76F1A-59B0-493D-BF2D-D01C95D4C11F}"/>
                              </a:ext>
                            </a:extLst>
                          </xdr:cNvPr>
                          <xdr:cNvCxnSpPr/>
                        </xdr:nvCxnSpPr>
                        <xdr:spPr>
                          <a:xfrm>
                            <a:off x="4910546" y="1642553"/>
                            <a:ext cx="0" cy="813282"/>
                          </a:xfrm>
                          <a:prstGeom prst="straightConnector1">
                            <a:avLst/>
                          </a:prstGeom>
                          <a:ln>
                            <a:tailEnd type="triangle"/>
                          </a:ln>
                        </xdr:spPr>
                        <xdr:style>
                          <a:lnRef idx="2">
                            <a:schemeClr val="dk1"/>
                          </a:lnRef>
                          <a:fillRef idx="0">
                            <a:schemeClr val="dk1"/>
                          </a:fillRef>
                          <a:effectRef idx="1">
                            <a:schemeClr val="dk1"/>
                          </a:effectRef>
                          <a:fontRef idx="minor">
                            <a:schemeClr val="tx1"/>
                          </a:fontRef>
                        </xdr:style>
                      </xdr:cxnSp>
                      <xdr:sp macro="" textlink="">
                        <xdr:nvSpPr>
                          <xdr:cNvPr id="20" name="TextBox 95">
                            <a:extLst>
                              <a:ext uri="{FF2B5EF4-FFF2-40B4-BE49-F238E27FC236}">
                                <a16:creationId xmlns:a16="http://schemas.microsoft.com/office/drawing/2014/main" id="{E3819741-91CF-4EB1-AFA7-ABA871FE2592}"/>
                              </a:ext>
                            </a:extLst>
                          </xdr:cNvPr>
                          <xdr:cNvSpPr txBox="1"/>
                        </xdr:nvSpPr>
                        <xdr:spPr>
                          <a:xfrm>
                            <a:off x="3888436" y="968477"/>
                            <a:ext cx="2090647" cy="530658"/>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lvl="0" algn="ctr"/>
                            <a:r>
                              <a:rPr lang="nl-NL" sz="1400" b="1"/>
                              <a:t>Hulp energie</a:t>
                            </a:r>
                          </a:p>
                          <a:p>
                            <a:pPr lvl="0" algn="ctr"/>
                            <a:r>
                              <a:rPr lang="nl-NL" sz="1400"/>
                              <a:t>&lt; 2 %</a:t>
                            </a:r>
                          </a:p>
                        </xdr:txBody>
                      </xdr:sp>
                    </xdr:grpSp>
                    <xdr:grpSp>
                      <xdr:nvGrpSpPr>
                        <xdr:cNvPr id="5" name="Group 4">
                          <a:extLst>
                            <a:ext uri="{FF2B5EF4-FFF2-40B4-BE49-F238E27FC236}">
                              <a16:creationId xmlns:a16="http://schemas.microsoft.com/office/drawing/2014/main" id="{3FFF1611-CA32-4EBE-8BC1-C3773FA8CB8F}"/>
                            </a:ext>
                          </a:extLst>
                        </xdr:cNvPr>
                        <xdr:cNvGrpSpPr/>
                      </xdr:nvGrpSpPr>
                      <xdr:grpSpPr>
                        <a:xfrm>
                          <a:off x="17482200" y="4115999"/>
                          <a:ext cx="1855974" cy="1498372"/>
                          <a:chOff x="7882884" y="2238073"/>
                          <a:chExt cx="1928584" cy="1460764"/>
                        </a:xfrm>
                      </xdr:grpSpPr>
                      <xdr:sp macro="" textlink="">
                        <xdr:nvSpPr>
                          <xdr:cNvPr id="16" name="Arrow: Striped Right 15">
                            <a:extLst>
                              <a:ext uri="{FF2B5EF4-FFF2-40B4-BE49-F238E27FC236}">
                                <a16:creationId xmlns:a16="http://schemas.microsoft.com/office/drawing/2014/main" id="{0DF23B3A-3675-441C-B59D-4AEA7E579779}"/>
                              </a:ext>
                            </a:extLst>
                          </xdr:cNvPr>
                          <xdr:cNvSpPr/>
                        </xdr:nvSpPr>
                        <xdr:spPr>
                          <a:xfrm rot="16200000">
                            <a:off x="8363287" y="2636309"/>
                            <a:ext cx="982833" cy="1142224"/>
                          </a:xfrm>
                          <a:prstGeom prst="stripedRightArrow">
                            <a:avLst/>
                          </a:prstGeom>
                          <a:solidFill>
                            <a:schemeClr val="accent2"/>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sp macro="" textlink="">
                        <xdr:nvSpPr>
                          <xdr:cNvPr id="17" name="TextBox 100">
                            <a:extLst>
                              <a:ext uri="{FF2B5EF4-FFF2-40B4-BE49-F238E27FC236}">
                                <a16:creationId xmlns:a16="http://schemas.microsoft.com/office/drawing/2014/main" id="{BD726F7C-3421-4045-8BA0-E47DDC3791D7}"/>
                              </a:ext>
                            </a:extLst>
                          </xdr:cNvPr>
                          <xdr:cNvSpPr txBox="1"/>
                        </xdr:nvSpPr>
                        <xdr:spPr>
                          <a:xfrm>
                            <a:off x="7882884" y="2238073"/>
                            <a:ext cx="1928584" cy="311497"/>
                          </a:xfrm>
                          <a:prstGeom prst="rect">
                            <a:avLst/>
                          </a:prstGeom>
                          <a:noFill/>
                        </xdr:spPr>
                        <xdr:txBody>
                          <a:bodyPr wrap="square" rtlCol="0">
                            <a:spAutoFit/>
                          </a:bodyPr>
                          <a:lstStyle>
                            <a:defPPr>
                              <a:defRPr lang="nl-NL"/>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nl-NL" sz="1400" b="1"/>
                              <a:t>Warmteverlies</a:t>
                            </a:r>
                            <a:endParaRPr lang="nl-NL" sz="1400"/>
                          </a:p>
                        </xdr:txBody>
                      </xdr:sp>
                    </xdr:grpSp>
                  </xdr:grpSp>
                  <xdr:sp macro="" textlink="">
                    <xdr:nvSpPr>
                      <xdr:cNvPr id="54" name="Rectangle 53">
                        <a:extLst>
                          <a:ext uri="{FF2B5EF4-FFF2-40B4-BE49-F238E27FC236}">
                            <a16:creationId xmlns:a16="http://schemas.microsoft.com/office/drawing/2014/main" id="{443F95E0-E515-4A2A-A2F0-3B1EE7B89DF7}"/>
                          </a:ext>
                        </a:extLst>
                      </xdr:cNvPr>
                      <xdr:cNvSpPr/>
                    </xdr:nvSpPr>
                    <xdr:spPr>
                      <a:xfrm>
                        <a:off x="6664348" y="4454544"/>
                        <a:ext cx="674436" cy="928950"/>
                      </a:xfrm>
                      <a:prstGeom prst="rect">
                        <a:avLst/>
                      </a:prstGeom>
                      <a:solidFill>
                        <a:schemeClr val="accent4"/>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sz="1600"/>
                      </a:p>
                    </xdr:txBody>
                  </xdr:sp>
                </xdr:grpSp>
                <xdr:sp macro="" textlink="">
                  <xdr:nvSpPr>
                    <xdr:cNvPr id="56" name="Rectangle 55">
                      <a:extLst>
                        <a:ext uri="{FF2B5EF4-FFF2-40B4-BE49-F238E27FC236}">
                          <a16:creationId xmlns:a16="http://schemas.microsoft.com/office/drawing/2014/main" id="{6BDF6D9F-C596-4F78-AD0B-6787B231C784}"/>
                        </a:ext>
                      </a:extLst>
                    </xdr:cNvPr>
                    <xdr:cNvSpPr/>
                  </xdr:nvSpPr>
                  <xdr:spPr>
                    <a:xfrm flipV="1">
                      <a:off x="12313313" y="4497351"/>
                      <a:ext cx="674436" cy="928950"/>
                    </a:xfrm>
                    <a:prstGeom prst="rect">
                      <a:avLst/>
                    </a:prstGeom>
                    <a:pattFill prst="wdUpDiag">
                      <a:fgClr>
                        <a:schemeClr val="accent3">
                          <a:lumMod val="50000"/>
                        </a:schemeClr>
                      </a:fgClr>
                      <a:bgClr>
                        <a:schemeClr val="accent6"/>
                      </a:bgClr>
                    </a:patt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grpSp>
            <xdr:cxnSp macro="">
              <xdr:nvCxnSpPr>
                <xdr:cNvPr id="52" name="Straight Connector 51">
                  <a:extLst>
                    <a:ext uri="{FF2B5EF4-FFF2-40B4-BE49-F238E27FC236}">
                      <a16:creationId xmlns:a16="http://schemas.microsoft.com/office/drawing/2014/main" id="{66205E9A-258C-4F64-9AAE-7341101C7FCD}"/>
                    </a:ext>
                  </a:extLst>
                </xdr:cNvPr>
                <xdr:cNvCxnSpPr/>
              </xdr:nvCxnSpPr>
              <xdr:spPr>
                <a:xfrm flipV="1">
                  <a:off x="9503965" y="5329371"/>
                  <a:ext cx="1" cy="377030"/>
                </a:xfrm>
                <a:prstGeom prst="line">
                  <a:avLst/>
                </a:prstGeom>
              </xdr:spPr>
              <xdr:style>
                <a:lnRef idx="2">
                  <a:schemeClr val="dk1"/>
                </a:lnRef>
                <a:fillRef idx="0">
                  <a:schemeClr val="dk1"/>
                </a:fillRef>
                <a:effectRef idx="1">
                  <a:schemeClr val="dk1"/>
                </a:effectRef>
                <a:fontRef idx="minor">
                  <a:schemeClr val="tx1"/>
                </a:fontRef>
              </xdr:style>
            </xdr:cxnSp>
            <xdr:cxnSp macro="">
              <xdr:nvCxnSpPr>
                <xdr:cNvPr id="58" name="Straight Connector 57">
                  <a:extLst>
                    <a:ext uri="{FF2B5EF4-FFF2-40B4-BE49-F238E27FC236}">
                      <a16:creationId xmlns:a16="http://schemas.microsoft.com/office/drawing/2014/main" id="{032189A2-2FA1-43ED-956D-6B1C598F5C8A}"/>
                    </a:ext>
                  </a:extLst>
                </xdr:cNvPr>
                <xdr:cNvCxnSpPr/>
              </xdr:nvCxnSpPr>
              <xdr:spPr>
                <a:xfrm flipV="1">
                  <a:off x="8366608" y="5353960"/>
                  <a:ext cx="1" cy="377030"/>
                </a:xfrm>
                <a:prstGeom prst="line">
                  <a:avLst/>
                </a:prstGeom>
              </xdr:spPr>
              <xdr:style>
                <a:lnRef idx="2">
                  <a:schemeClr val="dk1"/>
                </a:lnRef>
                <a:fillRef idx="0">
                  <a:schemeClr val="dk1"/>
                </a:fillRef>
                <a:effectRef idx="1">
                  <a:schemeClr val="dk1"/>
                </a:effectRef>
                <a:fontRef idx="minor">
                  <a:schemeClr val="tx1"/>
                </a:fontRef>
              </xdr:style>
            </xdr:cxnSp>
          </xdr:grpSp>
          <xdr:sp macro="" textlink="">
            <xdr:nvSpPr>
              <xdr:cNvPr id="61" name="Rectangle 60">
                <a:extLst>
                  <a:ext uri="{FF2B5EF4-FFF2-40B4-BE49-F238E27FC236}">
                    <a16:creationId xmlns:a16="http://schemas.microsoft.com/office/drawing/2014/main" id="{AF00BFCA-5C10-4ED1-93F2-333A4F5FB47F}"/>
                  </a:ext>
                </a:extLst>
              </xdr:cNvPr>
              <xdr:cNvSpPr/>
            </xdr:nvSpPr>
            <xdr:spPr>
              <a:xfrm flipV="1">
                <a:off x="5204837" y="4489081"/>
                <a:ext cx="674436" cy="928950"/>
              </a:xfrm>
              <a:prstGeom prst="rect">
                <a:avLst/>
              </a:prstGeom>
              <a:solidFill>
                <a:schemeClr val="accent3"/>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a:p>
            </xdr:txBody>
          </xdr:sp>
        </xdr:grpSp>
        <xdr:cxnSp macro="">
          <xdr:nvCxnSpPr>
            <xdr:cNvPr id="63" name="Straight Connector 62">
              <a:extLst>
                <a:ext uri="{FF2B5EF4-FFF2-40B4-BE49-F238E27FC236}">
                  <a16:creationId xmlns:a16="http://schemas.microsoft.com/office/drawing/2014/main" id="{4F8E39FC-6159-4754-9D9D-2E0FC1EFB8B6}"/>
                </a:ext>
              </a:extLst>
            </xdr:cNvPr>
            <xdr:cNvCxnSpPr>
              <a:cxnSpLocks/>
            </xdr:cNvCxnSpPr>
          </xdr:nvCxnSpPr>
          <xdr:spPr>
            <a:xfrm flipV="1">
              <a:off x="18961771" y="5669857"/>
              <a:ext cx="822022" cy="6814"/>
            </a:xfrm>
            <a:prstGeom prst="line">
              <a:avLst/>
            </a:prstGeom>
          </xdr:spPr>
          <xdr:style>
            <a:lnRef idx="2">
              <a:schemeClr val="dk1"/>
            </a:lnRef>
            <a:fillRef idx="0">
              <a:schemeClr val="dk1"/>
            </a:fillRef>
            <a:effectRef idx="1">
              <a:schemeClr val="dk1"/>
            </a:effectRef>
            <a:fontRef idx="minor">
              <a:schemeClr val="tx1"/>
            </a:fontRef>
          </xdr:style>
        </xdr:cxnSp>
      </xdr:grpSp>
      <xdr:sp macro="" textlink="">
        <xdr:nvSpPr>
          <xdr:cNvPr id="69" name="Rectangle 68">
            <a:extLst>
              <a:ext uri="{FF2B5EF4-FFF2-40B4-BE49-F238E27FC236}">
                <a16:creationId xmlns:a16="http://schemas.microsoft.com/office/drawing/2014/main" id="{12791A8C-F8ED-47DF-A463-8F2219955011}"/>
              </a:ext>
            </a:extLst>
          </xdr:cNvPr>
          <xdr:cNvSpPr/>
        </xdr:nvSpPr>
        <xdr:spPr>
          <a:xfrm>
            <a:off x="8060004" y="4402783"/>
            <a:ext cx="720000" cy="722839"/>
          </a:xfrm>
          <a:prstGeom prst="rect">
            <a:avLst/>
          </a:prstGeom>
          <a:solidFill>
            <a:schemeClr val="accent4"/>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sz="1600"/>
          </a:p>
        </xdr:txBody>
      </xdr:sp>
      <xdr:sp macro="" textlink="">
        <xdr:nvSpPr>
          <xdr:cNvPr id="70" name="Rectangle 69">
            <a:extLst>
              <a:ext uri="{FF2B5EF4-FFF2-40B4-BE49-F238E27FC236}">
                <a16:creationId xmlns:a16="http://schemas.microsoft.com/office/drawing/2014/main" id="{9B2CEC02-C92C-494F-9DA4-305040E6D1A7}"/>
              </a:ext>
            </a:extLst>
          </xdr:cNvPr>
          <xdr:cNvSpPr/>
        </xdr:nvSpPr>
        <xdr:spPr>
          <a:xfrm>
            <a:off x="9285195" y="4392648"/>
            <a:ext cx="720000" cy="722839"/>
          </a:xfrm>
          <a:prstGeom prst="rect">
            <a:avLst/>
          </a:prstGeom>
          <a:solidFill>
            <a:schemeClr val="accent4"/>
          </a:solidFill>
          <a:ln>
            <a:noFill/>
          </a:ln>
        </xdr:spPr>
        <xdr:style>
          <a:lnRef idx="1">
            <a:schemeClr val="accent1"/>
          </a:lnRef>
          <a:fillRef idx="3">
            <a:schemeClr val="accent1"/>
          </a:fillRef>
          <a:effectRef idx="2">
            <a:schemeClr val="accent1"/>
          </a:effectRef>
          <a:fontRef idx="minor">
            <a:schemeClr val="lt1"/>
          </a:fontRef>
        </xdr:style>
        <xdr:txBody>
          <a:bodyPr wrap="square" rtlCol="0" anchor="ctr"/>
          <a:lstStyle>
            <a:defPPr>
              <a:defRPr lang="nl-NL"/>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nl-NL" sz="1600"/>
          </a:p>
        </xdr:txBody>
      </xdr:sp>
    </xdr:grpSp>
    <xdr:clientData/>
  </xdr:twoCellAnchor>
  <xdr:twoCellAnchor>
    <xdr:from>
      <xdr:col>3</xdr:col>
      <xdr:colOff>790</xdr:colOff>
      <xdr:row>15</xdr:row>
      <xdr:rowOff>68262</xdr:rowOff>
    </xdr:from>
    <xdr:to>
      <xdr:col>7</xdr:col>
      <xdr:colOff>726280</xdr:colOff>
      <xdr:row>17</xdr:row>
      <xdr:rowOff>178592</xdr:rowOff>
    </xdr:to>
    <xdr:sp macro="" textlink="">
      <xdr:nvSpPr>
        <xdr:cNvPr id="31" name="TextBox 30">
          <a:extLst>
            <a:ext uri="{FF2B5EF4-FFF2-40B4-BE49-F238E27FC236}">
              <a16:creationId xmlns:a16="http://schemas.microsoft.com/office/drawing/2014/main" id="{23CF3614-C9B9-40AC-A94D-9C82018437DC}"/>
            </a:ext>
          </a:extLst>
        </xdr:cNvPr>
        <xdr:cNvSpPr txBox="1"/>
      </xdr:nvSpPr>
      <xdr:spPr>
        <a:xfrm>
          <a:off x="2239165" y="3211512"/>
          <a:ext cx="3642521" cy="527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t>Check of de benodigde warmtelevering (</a:t>
          </a:r>
          <a:r>
            <a:rPr lang="nl-NL" sz="1100">
              <a:solidFill>
                <a:schemeClr val="accent1"/>
              </a:solidFill>
            </a:rPr>
            <a:t>cel D14</a:t>
          </a:r>
          <a:r>
            <a:rPr lang="nl-NL" sz="1100"/>
            <a:t>) overeenkomst met de totaal geleverde</a:t>
          </a:r>
          <a:r>
            <a:rPr lang="nl-NL" sz="1100" baseline="0"/>
            <a:t> warmte (</a:t>
          </a:r>
          <a:r>
            <a:rPr lang="nl-NL" sz="1100" baseline="0">
              <a:solidFill>
                <a:schemeClr val="accent1"/>
              </a:solidFill>
            </a:rPr>
            <a:t>cel D37</a:t>
          </a:r>
          <a:r>
            <a:rPr lang="nl-NL" sz="1100"/>
            <a:t>)</a:t>
          </a:r>
        </a:p>
      </xdr:txBody>
    </xdr:sp>
    <xdr:clientData/>
  </xdr:twoCellAnchor>
  <xdr:twoCellAnchor>
    <xdr:from>
      <xdr:col>6</xdr:col>
      <xdr:colOff>37041</xdr:colOff>
      <xdr:row>7</xdr:row>
      <xdr:rowOff>107157</xdr:rowOff>
    </xdr:from>
    <xdr:to>
      <xdr:col>9</xdr:col>
      <xdr:colOff>47625</xdr:colOff>
      <xdr:row>10</xdr:row>
      <xdr:rowOff>358511</xdr:rowOff>
    </xdr:to>
    <xdr:sp macro="" textlink="">
      <xdr:nvSpPr>
        <xdr:cNvPr id="68" name="TextBox 67">
          <a:extLst>
            <a:ext uri="{FF2B5EF4-FFF2-40B4-BE49-F238E27FC236}">
              <a16:creationId xmlns:a16="http://schemas.microsoft.com/office/drawing/2014/main" id="{2D40E4AB-9949-4BF9-B7C3-5987EFD49F3C}"/>
            </a:ext>
          </a:extLst>
        </xdr:cNvPr>
        <xdr:cNvSpPr txBox="1"/>
      </xdr:nvSpPr>
      <xdr:spPr>
        <a:xfrm>
          <a:off x="4692385" y="1690688"/>
          <a:ext cx="2022740" cy="822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100">
              <a:solidFill>
                <a:schemeClr val="dk1"/>
              </a:solidFill>
              <a:effectLst/>
              <a:latin typeface="+mn-lt"/>
              <a:ea typeface="+mn-ea"/>
              <a:cs typeface="+mn-cs"/>
            </a:rPr>
            <a:t>Warmteverlies door transport in leidingen. Verlies is een percentage</a:t>
          </a:r>
          <a:r>
            <a:rPr lang="nl-NL" sz="1100" baseline="0">
              <a:solidFill>
                <a:schemeClr val="dk1"/>
              </a:solidFill>
              <a:effectLst/>
              <a:latin typeface="+mn-lt"/>
              <a:ea typeface="+mn-ea"/>
              <a:cs typeface="+mn-cs"/>
            </a:rPr>
            <a:t> t.o.v. de totale emissie door warmte productie</a:t>
          </a:r>
          <a:endParaRPr lang="nl-N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463548</xdr:colOff>
      <xdr:row>65</xdr:row>
      <xdr:rowOff>34132</xdr:rowOff>
    </xdr:from>
    <xdr:to>
      <xdr:col>9</xdr:col>
      <xdr:colOff>81911</xdr:colOff>
      <xdr:row>87</xdr:row>
      <xdr:rowOff>128846</xdr:rowOff>
    </xdr:to>
    <xdr:pic>
      <xdr:nvPicPr>
        <xdr:cNvPr id="3" name="Picture 2">
          <a:extLst>
            <a:ext uri="{FF2B5EF4-FFF2-40B4-BE49-F238E27FC236}">
              <a16:creationId xmlns:a16="http://schemas.microsoft.com/office/drawing/2014/main" id="{BCE741AB-A613-4627-AF3D-C15C331EE891}"/>
            </a:ext>
          </a:extLst>
        </xdr:cNvPr>
        <xdr:cNvPicPr>
          <a:picLocks noChangeAspect="1"/>
        </xdr:cNvPicPr>
      </xdr:nvPicPr>
      <xdr:blipFill>
        <a:blip xmlns:r="http://schemas.openxmlformats.org/officeDocument/2006/relationships" r:embed="rId1"/>
        <a:stretch>
          <a:fillRect/>
        </a:stretch>
      </xdr:blipFill>
      <xdr:spPr>
        <a:xfrm>
          <a:off x="6588123" y="13597732"/>
          <a:ext cx="5104763" cy="4285714"/>
        </a:xfrm>
        <a:prstGeom prst="rect">
          <a:avLst/>
        </a:prstGeom>
      </xdr:spPr>
    </xdr:pic>
    <xdr:clientData/>
  </xdr:twoCellAnchor>
  <xdr:twoCellAnchor editAs="oneCell">
    <xdr:from>
      <xdr:col>2</xdr:col>
      <xdr:colOff>34926</xdr:colOff>
      <xdr:row>65</xdr:row>
      <xdr:rowOff>187326</xdr:rowOff>
    </xdr:from>
    <xdr:to>
      <xdr:col>4</xdr:col>
      <xdr:colOff>204113</xdr:colOff>
      <xdr:row>92</xdr:row>
      <xdr:rowOff>15255</xdr:rowOff>
    </xdr:to>
    <xdr:pic>
      <xdr:nvPicPr>
        <xdr:cNvPr id="4" name="Picture 3">
          <a:extLst>
            <a:ext uri="{FF2B5EF4-FFF2-40B4-BE49-F238E27FC236}">
              <a16:creationId xmlns:a16="http://schemas.microsoft.com/office/drawing/2014/main" id="{370AC5FF-AD1B-4444-B5CF-2151EB2284CA}"/>
            </a:ext>
          </a:extLst>
        </xdr:cNvPr>
        <xdr:cNvPicPr>
          <a:picLocks noChangeAspect="1"/>
        </xdr:cNvPicPr>
      </xdr:nvPicPr>
      <xdr:blipFill>
        <a:blip xmlns:r="http://schemas.openxmlformats.org/officeDocument/2006/relationships" r:embed="rId2"/>
        <a:stretch>
          <a:fillRect/>
        </a:stretch>
      </xdr:blipFill>
      <xdr:spPr>
        <a:xfrm>
          <a:off x="911226" y="13750926"/>
          <a:ext cx="5417462" cy="4971429"/>
        </a:xfrm>
        <a:prstGeom prst="rect">
          <a:avLst/>
        </a:prstGeom>
      </xdr:spPr>
    </xdr:pic>
    <xdr:clientData/>
  </xdr:twoCellAnchor>
  <xdr:twoCellAnchor editAs="oneCell">
    <xdr:from>
      <xdr:col>2</xdr:col>
      <xdr:colOff>1988</xdr:colOff>
      <xdr:row>94</xdr:row>
      <xdr:rowOff>0</xdr:rowOff>
    </xdr:from>
    <xdr:to>
      <xdr:col>4</xdr:col>
      <xdr:colOff>933450</xdr:colOff>
      <xdr:row>118</xdr:row>
      <xdr:rowOff>4374</xdr:rowOff>
    </xdr:to>
    <xdr:pic>
      <xdr:nvPicPr>
        <xdr:cNvPr id="6" name="Picture 5">
          <a:extLst>
            <a:ext uri="{FF2B5EF4-FFF2-40B4-BE49-F238E27FC236}">
              <a16:creationId xmlns:a16="http://schemas.microsoft.com/office/drawing/2014/main" id="{0C701884-7295-46B7-BA26-A53FD897E865}"/>
            </a:ext>
          </a:extLst>
        </xdr:cNvPr>
        <xdr:cNvPicPr>
          <a:picLocks noChangeAspect="1"/>
        </xdr:cNvPicPr>
      </xdr:nvPicPr>
      <xdr:blipFill>
        <a:blip xmlns:r="http://schemas.openxmlformats.org/officeDocument/2006/relationships" r:embed="rId3"/>
        <a:stretch>
          <a:fillRect/>
        </a:stretch>
      </xdr:blipFill>
      <xdr:spPr>
        <a:xfrm>
          <a:off x="878288" y="18507075"/>
          <a:ext cx="6179737" cy="4576374"/>
        </a:xfrm>
        <a:prstGeom prst="rect">
          <a:avLst/>
        </a:prstGeom>
      </xdr:spPr>
    </xdr:pic>
    <xdr:clientData/>
  </xdr:twoCellAnchor>
  <xdr:twoCellAnchor editAs="oneCell">
    <xdr:from>
      <xdr:col>10</xdr:col>
      <xdr:colOff>809625</xdr:colOff>
      <xdr:row>73</xdr:row>
      <xdr:rowOff>107156</xdr:rowOff>
    </xdr:from>
    <xdr:to>
      <xdr:col>15</xdr:col>
      <xdr:colOff>327992</xdr:colOff>
      <xdr:row>76</xdr:row>
      <xdr:rowOff>183275</xdr:rowOff>
    </xdr:to>
    <xdr:pic>
      <xdr:nvPicPr>
        <xdr:cNvPr id="7" name="Picture 6">
          <a:extLst>
            <a:ext uri="{FF2B5EF4-FFF2-40B4-BE49-F238E27FC236}">
              <a16:creationId xmlns:a16="http://schemas.microsoft.com/office/drawing/2014/main" id="{03DA469D-7E3D-464F-A1A0-BCCA4F6C5B89}"/>
            </a:ext>
          </a:extLst>
        </xdr:cNvPr>
        <xdr:cNvPicPr>
          <a:picLocks noChangeAspect="1"/>
        </xdr:cNvPicPr>
      </xdr:nvPicPr>
      <xdr:blipFill>
        <a:blip xmlns:r="http://schemas.openxmlformats.org/officeDocument/2006/relationships" r:embed="rId4"/>
        <a:stretch>
          <a:fillRect/>
        </a:stretch>
      </xdr:blipFill>
      <xdr:spPr>
        <a:xfrm>
          <a:off x="12680156" y="11965781"/>
          <a:ext cx="4961905" cy="6476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klimaatakkoord.nl/documenten/publicaties/2019/06/28/klimaatakkoord" TargetMode="External"/><Relationship Id="rId1" Type="http://schemas.openxmlformats.org/officeDocument/2006/relationships/hyperlink" Target="https://www.internetconsultatie.nl/warmtewet2"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C2BD4-EE36-4B25-BDFD-9C4DA9688FDF}">
  <sheetPr codeName="Sheet2"/>
  <dimension ref="A2:N30"/>
  <sheetViews>
    <sheetView zoomScaleNormal="100" workbookViewId="0">
      <selection activeCell="A49" sqref="A49"/>
    </sheetView>
  </sheetViews>
  <sheetFormatPr defaultRowHeight="15" x14ac:dyDescent="0.25"/>
  <cols>
    <col min="1" max="16384" width="9.140625" style="1"/>
  </cols>
  <sheetData>
    <row r="2" spans="1:12" x14ac:dyDescent="0.25">
      <c r="A2"/>
    </row>
    <row r="14" spans="1:12" x14ac:dyDescent="0.25">
      <c r="L14" s="13"/>
    </row>
    <row r="21" spans="12:14" x14ac:dyDescent="0.25">
      <c r="L21" s="1" t="s">
        <v>0</v>
      </c>
    </row>
    <row r="30" spans="12:14" x14ac:dyDescent="0.25">
      <c r="N30"/>
    </row>
  </sheetData>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0E3CD-5A60-439F-B0F7-E5E67B6F9FA8}">
  <sheetPr codeName="Sheet1"/>
  <dimension ref="B1:BD79"/>
  <sheetViews>
    <sheetView tabSelected="1" zoomScale="80" zoomScaleNormal="80" workbookViewId="0">
      <selection activeCell="H7" sqref="H7"/>
    </sheetView>
  </sheetViews>
  <sheetFormatPr defaultRowHeight="15" x14ac:dyDescent="0.25"/>
  <cols>
    <col min="1" max="2" width="4" style="1" customWidth="1"/>
    <col min="3" max="3" width="25.7109375" style="1" bestFit="1" customWidth="1"/>
    <col min="4" max="4" width="21.28515625" style="1" customWidth="1"/>
    <col min="5" max="7" width="7.42578125" style="1" customWidth="1"/>
    <col min="8" max="8" width="15.140625" style="1" customWidth="1"/>
    <col min="9" max="9" width="7.42578125" style="1" customWidth="1"/>
    <col min="10" max="10" width="19.42578125" style="1" bestFit="1" customWidth="1"/>
    <col min="11" max="11" width="2.7109375" style="56" customWidth="1"/>
    <col min="12" max="12" width="31.5703125" style="1" customWidth="1"/>
    <col min="13" max="13" width="7.140625" style="1" customWidth="1"/>
    <col min="14" max="14" width="15.7109375" style="1" customWidth="1"/>
    <col min="15" max="15" width="9.42578125" style="1" customWidth="1"/>
    <col min="16" max="16" width="2.5703125" style="1" customWidth="1"/>
    <col min="17" max="17" width="15.42578125" style="1" customWidth="1"/>
    <col min="18" max="18" width="8" style="1" customWidth="1"/>
    <col min="19" max="19" width="3.85546875" style="1" customWidth="1"/>
    <col min="20" max="20" width="13.140625" style="1" customWidth="1"/>
    <col min="21" max="21" width="14.28515625" style="1" customWidth="1"/>
    <col min="22" max="22" width="7.42578125" style="1" bestFit="1" customWidth="1"/>
    <col min="23" max="23" width="3.85546875" style="1" customWidth="1"/>
    <col min="24" max="24" width="2.7109375" style="1" customWidth="1"/>
    <col min="25" max="25" width="15.7109375" style="1" customWidth="1"/>
    <col min="26" max="26" width="5.85546875" style="1" bestFit="1" customWidth="1"/>
    <col min="27" max="27" width="15.7109375" style="1" customWidth="1"/>
    <col min="28" max="28" width="5.85546875" style="1" bestFit="1" customWidth="1"/>
    <col min="29" max="29" width="15.7109375" style="1" customWidth="1"/>
    <col min="30" max="30" width="5.85546875" style="1" bestFit="1" customWidth="1"/>
    <col min="31" max="31" width="5.7109375" style="1" customWidth="1"/>
    <col min="32" max="32" width="5.85546875" style="1" customWidth="1"/>
    <col min="33" max="33" width="15.7109375" style="1" customWidth="1"/>
    <col min="34" max="34" width="6.28515625" style="1" customWidth="1"/>
    <col min="35" max="35" width="15.7109375" style="1" customWidth="1"/>
    <col min="36" max="36" width="5.85546875" style="1" customWidth="1"/>
    <col min="37" max="37" width="6" style="1" customWidth="1"/>
    <col min="38" max="38" width="9" style="1" bestFit="1" customWidth="1"/>
    <col min="39" max="39" width="5.85546875" style="1" bestFit="1" customWidth="1"/>
    <col min="40" max="40" width="19.85546875" style="1" bestFit="1" customWidth="1"/>
    <col min="41" max="41" width="9.5703125" style="1" bestFit="1" customWidth="1"/>
    <col min="42" max="42" width="12.42578125" style="1" customWidth="1"/>
    <col min="43" max="43" width="9.140625" style="1"/>
    <col min="44" max="44" width="11.5703125" style="1" bestFit="1" customWidth="1"/>
    <col min="45" max="45" width="9.140625" style="1"/>
    <col min="46" max="46" width="21" style="1" customWidth="1"/>
    <col min="47" max="16384" width="9.140625" style="1"/>
  </cols>
  <sheetData>
    <row r="1" spans="2:51" ht="5.25" customHeight="1" x14ac:dyDescent="0.25"/>
    <row r="2" spans="2:51" ht="28.5" x14ac:dyDescent="0.45">
      <c r="B2" s="48" t="s">
        <v>131</v>
      </c>
      <c r="M2" s="3"/>
      <c r="AA2" s="119"/>
    </row>
    <row r="3" spans="2:51" ht="6" customHeight="1" thickBot="1" x14ac:dyDescent="0.3">
      <c r="AM3" s="56"/>
      <c r="AN3" s="56"/>
      <c r="AO3" s="56"/>
      <c r="AP3" s="56"/>
      <c r="AQ3" s="56"/>
      <c r="AR3" s="56"/>
      <c r="AS3" s="56"/>
      <c r="AT3" s="56"/>
    </row>
    <row r="4" spans="2:51" x14ac:dyDescent="0.25">
      <c r="B4" s="27"/>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9"/>
      <c r="AM4" s="56"/>
      <c r="AN4" s="56"/>
      <c r="AO4" s="56"/>
      <c r="AP4" s="56"/>
      <c r="AQ4" s="56"/>
      <c r="AR4" s="56"/>
      <c r="AS4" s="56"/>
      <c r="AT4" s="56"/>
    </row>
    <row r="5" spans="2:51" ht="21" x14ac:dyDescent="0.35">
      <c r="B5" s="38"/>
      <c r="C5" s="118"/>
      <c r="D5" s="94" t="s">
        <v>2</v>
      </c>
      <c r="E5" s="56"/>
      <c r="F5" s="56"/>
      <c r="G5" s="66"/>
      <c r="H5" s="95" t="s">
        <v>1</v>
      </c>
      <c r="I5" s="65"/>
      <c r="J5" s="56"/>
      <c r="L5" s="57"/>
      <c r="M5" s="57"/>
      <c r="N5" s="145" t="s">
        <v>138</v>
      </c>
      <c r="O5" s="57"/>
      <c r="P5" s="57"/>
      <c r="Q5" s="203">
        <f>aandeel_geowater+aandeel_formatiegas+aandeel_WP</f>
        <v>0.82016</v>
      </c>
      <c r="R5" s="57" t="s">
        <v>99</v>
      </c>
      <c r="S5" s="57"/>
      <c r="T5" s="57"/>
      <c r="U5" s="57"/>
      <c r="V5" s="59"/>
      <c r="W5" s="60"/>
      <c r="X5" s="61"/>
      <c r="Y5" s="62"/>
      <c r="Z5" s="62"/>
      <c r="AA5" s="144" t="s">
        <v>137</v>
      </c>
      <c r="AB5" s="62"/>
      <c r="AC5" s="62"/>
      <c r="AD5" s="62"/>
      <c r="AE5" s="56"/>
      <c r="AF5" s="63"/>
      <c r="AG5" s="63"/>
      <c r="AH5" s="93" t="s">
        <v>135</v>
      </c>
      <c r="AI5" s="64"/>
      <c r="AJ5" s="64"/>
      <c r="AK5" s="60"/>
      <c r="AL5" s="37"/>
      <c r="AM5" s="56"/>
      <c r="AN5" s="56"/>
      <c r="AO5" s="56"/>
      <c r="AP5" s="56"/>
      <c r="AQ5" s="56"/>
      <c r="AR5" s="56"/>
      <c r="AS5" s="56"/>
      <c r="AT5" s="56"/>
    </row>
    <row r="6" spans="2:51" ht="15" customHeight="1" x14ac:dyDescent="0.35">
      <c r="B6" s="38"/>
      <c r="C6" s="118"/>
      <c r="D6" s="94"/>
      <c r="E6" s="56"/>
      <c r="F6" s="56"/>
      <c r="G6" s="66"/>
      <c r="H6" s="95"/>
      <c r="I6" s="65"/>
      <c r="J6" s="56"/>
      <c r="L6" s="57"/>
      <c r="M6" s="57"/>
      <c r="N6" s="145"/>
      <c r="O6" s="57"/>
      <c r="P6" s="57"/>
      <c r="Q6" s="196"/>
      <c r="R6" s="57"/>
      <c r="S6" s="57"/>
      <c r="T6" s="57"/>
      <c r="U6" s="57"/>
      <c r="V6" s="59"/>
      <c r="W6" s="60"/>
      <c r="X6" s="61"/>
      <c r="Y6" s="62"/>
      <c r="Z6" s="62"/>
      <c r="AA6" s="144"/>
      <c r="AB6" s="62"/>
      <c r="AC6" s="62"/>
      <c r="AD6" s="62"/>
      <c r="AE6" s="56"/>
      <c r="AF6" s="63"/>
      <c r="AG6" s="63"/>
      <c r="AH6" s="93"/>
      <c r="AI6" s="64"/>
      <c r="AJ6" s="64"/>
      <c r="AK6" s="60"/>
      <c r="AL6" s="37"/>
      <c r="AM6" s="56"/>
      <c r="AN6" s="56"/>
      <c r="AO6" s="56"/>
      <c r="AP6" s="56"/>
      <c r="AQ6" s="56"/>
      <c r="AR6" s="56"/>
      <c r="AS6" s="56"/>
      <c r="AT6" s="56"/>
    </row>
    <row r="7" spans="2:51" ht="18.75" x14ac:dyDescent="0.3">
      <c r="B7" s="38"/>
      <c r="C7" s="118" t="s">
        <v>178</v>
      </c>
      <c r="D7" s="204">
        <f>SUM(aandeel_geowater,aandeel_formatiegas,aandeel_bron1,aandeel_bron2,aandeel_bron3,aandeel_WP,aandeel_piek1,aandeel_piek2)</f>
        <v>1.0001599999999999</v>
      </c>
      <c r="E7" s="56"/>
      <c r="F7" s="56"/>
      <c r="G7" s="66"/>
      <c r="H7" s="83">
        <v>0.2</v>
      </c>
      <c r="I7" s="66"/>
      <c r="J7" s="56"/>
      <c r="L7" s="58"/>
      <c r="M7" s="58"/>
      <c r="N7" s="99" t="s">
        <v>126</v>
      </c>
      <c r="O7" s="97"/>
      <c r="P7" s="76"/>
      <c r="Q7" s="99" t="s">
        <v>187</v>
      </c>
      <c r="R7" s="57"/>
      <c r="S7" s="57"/>
      <c r="T7" s="131"/>
      <c r="U7" s="136" t="s">
        <v>127</v>
      </c>
      <c r="V7" s="58"/>
      <c r="W7" s="56"/>
      <c r="X7" s="62"/>
      <c r="Y7" s="61" t="s">
        <v>94</v>
      </c>
      <c r="Z7" s="61"/>
      <c r="AA7" s="61" t="s">
        <v>95</v>
      </c>
      <c r="AB7" s="61"/>
      <c r="AC7" s="61" t="s">
        <v>96</v>
      </c>
      <c r="AD7" s="61"/>
      <c r="AE7" s="60"/>
      <c r="AF7" s="64"/>
      <c r="AG7" s="64" t="s">
        <v>97</v>
      </c>
      <c r="AH7" s="64"/>
      <c r="AI7" s="64" t="s">
        <v>98</v>
      </c>
      <c r="AJ7" s="63"/>
      <c r="AK7" s="56"/>
      <c r="AL7" s="37"/>
      <c r="AM7" s="56"/>
      <c r="AN7" s="56"/>
      <c r="AO7" s="56"/>
      <c r="AP7" s="56"/>
      <c r="AQ7" s="56"/>
      <c r="AR7" s="56"/>
      <c r="AS7" s="56"/>
      <c r="AT7" s="56"/>
    </row>
    <row r="8" spans="2:51" ht="18" x14ac:dyDescent="0.35">
      <c r="B8" s="38"/>
      <c r="C8" s="118" t="s">
        <v>177</v>
      </c>
      <c r="D8">
        <f>D15*1000</f>
        <v>375000</v>
      </c>
      <c r="E8" s="56" t="s">
        <v>166</v>
      </c>
      <c r="F8" s="56"/>
      <c r="G8" s="82"/>
      <c r="H8" s="66"/>
      <c r="I8" s="66"/>
      <c r="J8" s="56"/>
      <c r="L8" s="58"/>
      <c r="M8" s="67" t="s">
        <v>174</v>
      </c>
      <c r="N8" s="200">
        <f>GT_prod_water/D8</f>
        <v>0.66880000000000006</v>
      </c>
      <c r="O8" s="96"/>
      <c r="P8" s="76"/>
      <c r="Q8" s="120">
        <f>IF(bijvangst="vul waarde in","vul waarde in",GT_prod_gas/D8)</f>
        <v>8.448E-2</v>
      </c>
      <c r="R8" s="57"/>
      <c r="S8" s="58"/>
      <c r="T8" s="132"/>
      <c r="U8" s="130">
        <f>U13/D8</f>
        <v>6.6879999999999995E-2</v>
      </c>
      <c r="V8" s="58"/>
      <c r="W8" s="77"/>
      <c r="X8" s="78"/>
      <c r="Y8" s="83">
        <v>0</v>
      </c>
      <c r="Z8" s="78"/>
      <c r="AA8" s="83">
        <v>0</v>
      </c>
      <c r="AB8" s="78"/>
      <c r="AC8" s="83">
        <v>0</v>
      </c>
      <c r="AD8" s="79"/>
      <c r="AE8" s="80"/>
      <c r="AF8" s="81"/>
      <c r="AG8" s="83">
        <v>0.18</v>
      </c>
      <c r="AH8" s="81"/>
      <c r="AI8" s="83">
        <v>0</v>
      </c>
      <c r="AJ8" s="81"/>
      <c r="AK8" s="77"/>
      <c r="AL8" s="37"/>
      <c r="AM8" s="56"/>
      <c r="AN8" s="56"/>
      <c r="AO8" s="56"/>
      <c r="AP8" s="56"/>
      <c r="AQ8" s="56"/>
      <c r="AR8" s="56"/>
      <c r="AS8" s="56"/>
      <c r="AT8" s="56"/>
    </row>
    <row r="9" spans="2:51" x14ac:dyDescent="0.25">
      <c r="B9" s="38"/>
      <c r="F9" s="56"/>
      <c r="G9" s="66"/>
      <c r="H9" s="66"/>
      <c r="I9" s="66"/>
      <c r="J9" s="56"/>
      <c r="L9" s="58"/>
      <c r="M9" s="67"/>
      <c r="N9" s="202"/>
      <c r="O9" s="97"/>
      <c r="P9" s="58"/>
      <c r="Q9" s="57" t="s">
        <v>68</v>
      </c>
      <c r="R9" s="57"/>
      <c r="S9" s="76"/>
      <c r="T9" s="133"/>
      <c r="U9" s="58"/>
      <c r="V9" s="128"/>
      <c r="W9" s="56"/>
      <c r="X9" s="62"/>
      <c r="Y9" s="62"/>
      <c r="Z9" s="62"/>
      <c r="AA9" s="62"/>
      <c r="AB9" s="62"/>
      <c r="AC9" s="62"/>
      <c r="AD9" s="62"/>
      <c r="AF9" s="81"/>
      <c r="AG9" s="81"/>
      <c r="AH9" s="81"/>
      <c r="AI9" s="81"/>
      <c r="AJ9" s="63"/>
      <c r="AK9" s="56"/>
      <c r="AL9" s="37"/>
      <c r="AM9" s="56"/>
      <c r="AN9" s="56"/>
      <c r="AO9" s="56"/>
      <c r="AP9" s="56"/>
      <c r="AQ9" s="56"/>
      <c r="AR9" s="56"/>
      <c r="AS9" s="56"/>
      <c r="AT9" s="56"/>
    </row>
    <row r="10" spans="2:51" ht="12" customHeight="1" x14ac:dyDescent="0.25">
      <c r="B10" s="38"/>
      <c r="F10" s="56"/>
      <c r="G10" s="66"/>
      <c r="H10" s="66"/>
      <c r="I10" s="66"/>
      <c r="L10" s="195"/>
      <c r="M10" s="195"/>
      <c r="N10" s="195"/>
      <c r="O10" s="195"/>
      <c r="P10" s="132"/>
      <c r="Q10" s="195"/>
      <c r="R10" s="195"/>
      <c r="S10" s="195"/>
      <c r="T10" s="132"/>
      <c r="U10" s="195"/>
      <c r="V10" s="195"/>
      <c r="W10" s="56"/>
      <c r="X10" s="62"/>
      <c r="Y10" s="62"/>
      <c r="Z10" s="62"/>
      <c r="AA10" s="62"/>
      <c r="AB10" s="62"/>
      <c r="AC10" s="62"/>
      <c r="AD10" s="62"/>
      <c r="AE10" s="56"/>
      <c r="AF10" s="63"/>
      <c r="AG10" s="63"/>
      <c r="AH10" s="63"/>
      <c r="AI10" s="63"/>
      <c r="AJ10" s="63"/>
      <c r="AK10" s="56"/>
      <c r="AL10" s="37"/>
      <c r="AM10" s="56"/>
      <c r="AN10" s="56"/>
      <c r="AO10" s="56"/>
      <c r="AP10" s="56"/>
      <c r="AQ10" s="56"/>
      <c r="AR10" s="56"/>
      <c r="AS10" s="56"/>
      <c r="AT10" s="56"/>
    </row>
    <row r="11" spans="2:51" ht="30.75" customHeight="1" x14ac:dyDescent="0.25">
      <c r="B11" s="38"/>
      <c r="C11" s="56"/>
      <c r="D11" s="181" t="s">
        <v>170</v>
      </c>
      <c r="E11" s="56"/>
      <c r="F11" s="56"/>
      <c r="G11" s="66"/>
      <c r="H11" s="66"/>
      <c r="I11" s="66"/>
      <c r="K11" s="118"/>
      <c r="L11" s="58"/>
      <c r="M11" s="67" t="s">
        <v>175</v>
      </c>
      <c r="N11" s="180" t="s">
        <v>114</v>
      </c>
      <c r="O11" s="97"/>
      <c r="P11" s="58"/>
      <c r="Q11" s="197" t="s">
        <v>66</v>
      </c>
      <c r="R11" s="57"/>
      <c r="S11" s="58"/>
      <c r="T11" s="134" t="s">
        <v>123</v>
      </c>
      <c r="U11" s="85">
        <v>5</v>
      </c>
      <c r="V11" s="58" t="s">
        <v>120</v>
      </c>
      <c r="W11" s="56"/>
      <c r="X11" s="62"/>
      <c r="Y11" s="86" t="s">
        <v>82</v>
      </c>
      <c r="Z11" s="62"/>
      <c r="AA11" s="86" t="s">
        <v>145</v>
      </c>
      <c r="AB11" s="62"/>
      <c r="AC11" s="86" t="s">
        <v>90</v>
      </c>
      <c r="AD11" s="62"/>
      <c r="AE11" s="56"/>
      <c r="AF11" s="63"/>
      <c r="AG11" s="86" t="s">
        <v>48</v>
      </c>
      <c r="AH11" s="68"/>
      <c r="AI11" s="86" t="s">
        <v>90</v>
      </c>
      <c r="AJ11" s="63"/>
      <c r="AK11" s="56"/>
      <c r="AL11" s="37"/>
      <c r="AM11" s="56"/>
      <c r="AN11" s="56"/>
      <c r="AO11" s="56"/>
      <c r="AP11" s="56"/>
      <c r="AQ11" s="56"/>
      <c r="AR11" s="56"/>
      <c r="AS11" s="56"/>
      <c r="AT11" s="56"/>
    </row>
    <row r="12" spans="2:51" x14ac:dyDescent="0.25">
      <c r="B12" s="38"/>
      <c r="C12" s="118" t="s">
        <v>171</v>
      </c>
      <c r="D12" s="84">
        <v>10000</v>
      </c>
      <c r="E12" s="56" t="s">
        <v>132</v>
      </c>
      <c r="F12" s="69"/>
      <c r="G12" s="56"/>
      <c r="H12" s="56"/>
      <c r="I12" s="56"/>
      <c r="K12" s="118"/>
      <c r="L12" s="58"/>
      <c r="M12" s="47" t="s">
        <v>164</v>
      </c>
      <c r="N12" s="58"/>
      <c r="O12" s="97"/>
      <c r="P12" s="58"/>
      <c r="Q12" s="57" t="s">
        <v>70</v>
      </c>
      <c r="R12" s="57"/>
      <c r="S12" s="58"/>
      <c r="T12" s="134" t="s">
        <v>108</v>
      </c>
      <c r="U12" s="137">
        <f>debiet*(U11)*Cpwater*Rhowater*10^-6/3600</f>
        <v>1.1611111111111112</v>
      </c>
      <c r="V12" s="58" t="s">
        <v>128</v>
      </c>
      <c r="W12" s="56"/>
      <c r="X12" s="62"/>
      <c r="Y12" s="62"/>
      <c r="Z12" s="62"/>
      <c r="AA12" s="62"/>
      <c r="AB12" s="62"/>
      <c r="AC12" s="62"/>
      <c r="AD12" s="62"/>
      <c r="AE12" s="56"/>
      <c r="AF12" s="201"/>
      <c r="AG12" s="201"/>
      <c r="AH12" s="201"/>
      <c r="AI12" s="201"/>
      <c r="AJ12" s="201"/>
      <c r="AK12" s="56"/>
      <c r="AL12" s="37"/>
      <c r="AM12" s="56"/>
      <c r="AN12" s="56"/>
      <c r="AO12" s="56"/>
      <c r="AP12" s="56"/>
      <c r="AQ12" s="56"/>
      <c r="AR12" s="56"/>
      <c r="AS12" s="56"/>
      <c r="AT12" s="56"/>
      <c r="AY12" s="115"/>
    </row>
    <row r="13" spans="2:51" ht="18.75" x14ac:dyDescent="0.35">
      <c r="B13" s="38"/>
      <c r="C13" s="118" t="s">
        <v>172</v>
      </c>
      <c r="D13" s="182">
        <v>30</v>
      </c>
      <c r="E13" s="56" t="s">
        <v>134</v>
      </c>
      <c r="F13" s="69" t="s">
        <v>133</v>
      </c>
      <c r="G13" s="56"/>
      <c r="H13" s="56"/>
      <c r="I13" s="56"/>
      <c r="K13" s="88"/>
      <c r="L13" s="58"/>
      <c r="M13" s="47" t="s">
        <v>5</v>
      </c>
      <c r="N13" s="84">
        <v>0</v>
      </c>
      <c r="O13" s="97" t="s">
        <v>158</v>
      </c>
      <c r="P13" s="58"/>
      <c r="Q13" s="90">
        <f>IF(N11="ja",IF(Q11='Parameters &amp; aannames'!C26,'Parameters &amp; aannames'!E26,IF(Q11='Parameters &amp; aannames'!C27,'Parameters &amp; aannames'!E27,IF(Q11='Parameters &amp; aannames'!C28,'Parameters &amp; aannames'!E28))),IF(N11="nee",0))</f>
        <v>1</v>
      </c>
      <c r="R13" s="57" t="s">
        <v>154</v>
      </c>
      <c r="S13" s="58"/>
      <c r="T13" s="134" t="s">
        <v>124</v>
      </c>
      <c r="U13" s="183">
        <f>debiet*(U11)*Cpwater*Rhowater*10^-6/3600*draaiuren*3.6</f>
        <v>25080</v>
      </c>
      <c r="V13" s="58" t="s">
        <v>157</v>
      </c>
      <c r="W13" s="56"/>
      <c r="X13" s="56"/>
      <c r="Y13" s="56"/>
      <c r="Z13" s="56"/>
      <c r="AA13" s="69"/>
      <c r="AB13" s="60"/>
      <c r="AC13" s="56"/>
      <c r="AD13" s="56"/>
      <c r="AE13" s="56"/>
      <c r="AF13" s="56"/>
      <c r="AG13" s="56"/>
      <c r="AH13" s="56"/>
      <c r="AI13" s="56"/>
      <c r="AJ13" s="56"/>
      <c r="AK13" s="56"/>
      <c r="AL13" s="37"/>
      <c r="AM13" s="56"/>
      <c r="AN13" s="56"/>
      <c r="AO13" s="56"/>
      <c r="AP13" s="56"/>
      <c r="AQ13" s="56"/>
      <c r="AR13" s="56"/>
      <c r="AS13" s="56"/>
      <c r="AT13" s="56"/>
      <c r="AY13" s="115"/>
    </row>
    <row r="14" spans="2:51" x14ac:dyDescent="0.25">
      <c r="B14" s="38"/>
      <c r="C14" s="118" t="s">
        <v>176</v>
      </c>
      <c r="D14" s="184">
        <f>D12*D13/1000</f>
        <v>300</v>
      </c>
      <c r="E14" s="56" t="s">
        <v>150</v>
      </c>
      <c r="F14" s="69" t="s">
        <v>168</v>
      </c>
      <c r="G14" s="56"/>
      <c r="H14" s="56"/>
      <c r="I14" s="56"/>
      <c r="J14" s="69"/>
      <c r="K14" s="88"/>
      <c r="L14" s="58"/>
      <c r="M14" s="47" t="s">
        <v>102</v>
      </c>
      <c r="N14" s="209">
        <v>20</v>
      </c>
      <c r="O14" s="97"/>
      <c r="P14" s="58"/>
      <c r="Q14" s="58" t="s">
        <v>69</v>
      </c>
      <c r="R14" s="57"/>
      <c r="S14" s="58"/>
      <c r="T14" s="134" t="s">
        <v>122</v>
      </c>
      <c r="U14" s="85">
        <v>5</v>
      </c>
      <c r="V14" s="129"/>
      <c r="W14" s="56"/>
      <c r="X14" s="56"/>
      <c r="Y14" s="56"/>
      <c r="Z14" s="56"/>
      <c r="AA14" s="69"/>
      <c r="AB14" s="60"/>
      <c r="AC14" s="56"/>
      <c r="AD14" s="56"/>
      <c r="AE14" s="56"/>
      <c r="AF14" s="56"/>
      <c r="AG14" s="56"/>
      <c r="AH14" s="56"/>
      <c r="AI14" s="56"/>
      <c r="AJ14" s="56"/>
      <c r="AK14" s="56"/>
      <c r="AL14" s="37"/>
      <c r="AM14" s="56"/>
      <c r="AN14" s="56"/>
      <c r="AO14" s="56"/>
      <c r="AP14" s="56"/>
      <c r="AQ14" s="56"/>
      <c r="AR14" s="56"/>
      <c r="AS14" s="56"/>
      <c r="AT14" s="56"/>
    </row>
    <row r="15" spans="2:51" ht="18" x14ac:dyDescent="0.35">
      <c r="B15" s="38"/>
      <c r="C15" s="118" t="s">
        <v>177</v>
      </c>
      <c r="D15" s="73">
        <f>D14/(1-aandeel_verlies)</f>
        <v>375</v>
      </c>
      <c r="E15" s="56" t="s">
        <v>150</v>
      </c>
      <c r="F15" s="69" t="s">
        <v>167</v>
      </c>
      <c r="G15" s="56"/>
      <c r="H15" s="56"/>
      <c r="I15" s="56"/>
      <c r="J15" s="56"/>
      <c r="K15" s="118"/>
      <c r="L15" s="58"/>
      <c r="M15" s="47" t="s">
        <v>6</v>
      </c>
      <c r="N15" s="84">
        <v>80</v>
      </c>
      <c r="O15" s="98" t="s">
        <v>7</v>
      </c>
      <c r="P15" s="71"/>
      <c r="Q15" s="90">
        <f>IF(Q11='Parameters &amp; aannames'!C26,'Parameters &amp; aannames'!F26,IF(Q11='Parameters &amp; aannames'!C27,'Parameters &amp; aannames'!F27,IF(Q11='Parameters &amp; aannames'!C28,'Parameters &amp; aannames'!F28)))</f>
        <v>64</v>
      </c>
      <c r="R15" s="100" t="s">
        <v>153</v>
      </c>
      <c r="S15" s="100"/>
      <c r="T15" s="135"/>
      <c r="U15" s="100"/>
      <c r="V15" s="71"/>
      <c r="W15" s="72"/>
      <c r="X15" s="72"/>
      <c r="Y15" s="56"/>
      <c r="Z15" s="56"/>
      <c r="AA15" s="69"/>
      <c r="AB15" s="56"/>
      <c r="AC15" s="56"/>
      <c r="AD15" s="56"/>
      <c r="AE15" s="56"/>
      <c r="AF15" s="56"/>
      <c r="AG15" s="56"/>
      <c r="AH15" s="56"/>
      <c r="AI15" s="56"/>
      <c r="AJ15" s="56"/>
      <c r="AK15" s="56"/>
      <c r="AL15" s="37"/>
      <c r="AM15" s="56"/>
      <c r="AN15" s="56"/>
      <c r="AO15" s="56"/>
      <c r="AP15" s="56"/>
      <c r="AQ15" s="56"/>
      <c r="AR15" s="56"/>
      <c r="AS15" s="56"/>
      <c r="AT15" s="56"/>
    </row>
    <row r="16" spans="2:51" ht="15.75" x14ac:dyDescent="0.25">
      <c r="B16" s="38"/>
      <c r="D16" s="56"/>
      <c r="E16" s="56"/>
      <c r="F16" s="56"/>
      <c r="G16" s="56"/>
      <c r="H16" s="56"/>
      <c r="I16" s="56"/>
      <c r="J16" s="56"/>
      <c r="K16" s="118"/>
      <c r="L16" s="58"/>
      <c r="M16" s="47" t="s">
        <v>121</v>
      </c>
      <c r="N16" s="84">
        <v>30</v>
      </c>
      <c r="O16" s="98" t="s">
        <v>7</v>
      </c>
      <c r="P16" s="71"/>
      <c r="Q16" s="58" t="s">
        <v>72</v>
      </c>
      <c r="R16" s="57"/>
      <c r="S16" s="57"/>
      <c r="T16" s="131"/>
      <c r="U16" s="57"/>
      <c r="V16" s="71"/>
      <c r="W16" s="72"/>
      <c r="X16" s="72"/>
      <c r="Y16" s="56"/>
      <c r="Z16" s="56"/>
      <c r="AA16" s="69"/>
      <c r="AB16" s="56"/>
      <c r="AC16" s="56"/>
      <c r="AD16" s="56"/>
      <c r="AE16" s="56"/>
      <c r="AF16" s="56"/>
      <c r="AG16" s="56"/>
      <c r="AH16" s="56"/>
      <c r="AI16" s="56"/>
      <c r="AJ16" s="56"/>
      <c r="AK16" s="56"/>
      <c r="AL16" s="37"/>
      <c r="AM16" s="56"/>
      <c r="AN16" s="56"/>
      <c r="AO16" s="56"/>
      <c r="AP16" s="56"/>
      <c r="AQ16" s="56"/>
      <c r="AR16" s="56"/>
      <c r="AS16" s="56"/>
      <c r="AT16" s="56"/>
    </row>
    <row r="17" spans="2:51" ht="17.25" x14ac:dyDescent="0.25">
      <c r="B17" s="38"/>
      <c r="D17" s="56"/>
      <c r="E17" s="56"/>
      <c r="F17" s="56"/>
      <c r="G17" s="56"/>
      <c r="H17" s="56"/>
      <c r="I17" s="56"/>
      <c r="J17" s="56"/>
      <c r="K17" s="118"/>
      <c r="L17" s="58"/>
      <c r="M17" s="47" t="s">
        <v>101</v>
      </c>
      <c r="N17" s="84">
        <v>6000</v>
      </c>
      <c r="O17" s="97" t="s">
        <v>8</v>
      </c>
      <c r="P17" s="58"/>
      <c r="Q17" s="90">
        <f>IF(Q11='Parameters &amp; aannames'!C26,'Parameters &amp; aannames'!G26,IF(Q11='Parameters &amp; aannames'!C27,'Parameters &amp; aannames'!G27,IF(Q11='Parameters &amp; aannames'!C28,'Parameters &amp; aannames'!G28)))</f>
        <v>3.3000000000000002E-2</v>
      </c>
      <c r="R17" s="58" t="s">
        <v>155</v>
      </c>
      <c r="S17" s="58"/>
      <c r="T17" s="132"/>
      <c r="U17" s="58"/>
      <c r="V17" s="58"/>
      <c r="W17" s="56"/>
      <c r="X17" s="56"/>
      <c r="Y17" s="56"/>
      <c r="Z17" s="56"/>
      <c r="AA17" s="56"/>
      <c r="AB17" s="56"/>
      <c r="AC17" s="56"/>
      <c r="AD17" s="56"/>
      <c r="AE17" s="56"/>
      <c r="AF17" s="56"/>
      <c r="AG17" s="56"/>
      <c r="AH17" s="56"/>
      <c r="AI17" s="56"/>
      <c r="AJ17" s="56"/>
      <c r="AK17" s="56"/>
      <c r="AL17" s="37"/>
      <c r="AM17" s="56"/>
      <c r="AN17" s="56"/>
      <c r="AO17" s="56"/>
      <c r="AP17" s="56"/>
      <c r="AQ17" s="56"/>
      <c r="AR17" s="56"/>
      <c r="AS17" s="56"/>
      <c r="AT17" s="56"/>
    </row>
    <row r="18" spans="2:51" ht="17.25" x14ac:dyDescent="0.25">
      <c r="B18" s="38"/>
      <c r="D18" s="56"/>
      <c r="E18" s="56"/>
      <c r="F18" s="56"/>
      <c r="G18" s="56"/>
      <c r="H18" s="56"/>
      <c r="I18" s="56"/>
      <c r="J18" s="56"/>
      <c r="K18" s="118"/>
      <c r="L18" s="58"/>
      <c r="M18" s="67" t="s">
        <v>179</v>
      </c>
      <c r="N18" s="84">
        <v>200</v>
      </c>
      <c r="O18" s="97" t="s">
        <v>9</v>
      </c>
      <c r="P18" s="58"/>
      <c r="Q18" s="57" t="s">
        <v>89</v>
      </c>
      <c r="R18" s="57"/>
      <c r="S18" s="57"/>
      <c r="T18" s="131"/>
      <c r="U18" s="57"/>
      <c r="V18" s="58"/>
      <c r="W18" s="56"/>
      <c r="X18" s="56"/>
      <c r="Y18" s="56"/>
      <c r="Z18" s="56"/>
      <c r="AA18" s="56"/>
      <c r="AB18" s="56"/>
      <c r="AC18" s="56"/>
      <c r="AD18" s="56"/>
      <c r="AE18" s="56"/>
      <c r="AF18" s="56"/>
      <c r="AG18" s="56"/>
      <c r="AH18" s="56"/>
      <c r="AI18" s="56"/>
      <c r="AJ18" s="56"/>
      <c r="AK18" s="56"/>
      <c r="AL18" s="37"/>
      <c r="AM18" s="56"/>
      <c r="AN18" s="56"/>
      <c r="AO18" s="56"/>
      <c r="AP18" s="56"/>
      <c r="AQ18" s="56"/>
      <c r="AR18" s="56"/>
      <c r="AS18" s="56"/>
      <c r="AT18" s="56"/>
      <c r="AY18" s="115"/>
    </row>
    <row r="19" spans="2:51" ht="21" x14ac:dyDescent="0.35">
      <c r="B19" s="38"/>
      <c r="C19" s="119" t="str">
        <f>IF(D7&gt;1.005,"Let op! Aandeel in warmtevraag &gt; 100% (cel D7)",IF(D7&lt;0.995,"Let op! Aandeel in warmtevraag &lt; 100% (cel D7)",""))</f>
        <v/>
      </c>
      <c r="D19" s="56"/>
      <c r="E19" s="56"/>
      <c r="F19" s="56"/>
      <c r="G19" s="56"/>
      <c r="H19" s="56"/>
      <c r="I19" s="56"/>
      <c r="J19" s="56"/>
      <c r="K19" s="118"/>
      <c r="L19" s="58"/>
      <c r="M19" s="67" t="s">
        <v>108</v>
      </c>
      <c r="N19" s="125">
        <f>debiet*(N15-N16)*Cpwater*Rhowater*10^-6/3600</f>
        <v>11.611111111111111</v>
      </c>
      <c r="O19" s="111" t="s">
        <v>109</v>
      </c>
      <c r="P19" s="57"/>
      <c r="Q19" s="124">
        <f>IF(bijvangst="vul waarde in","vul waarde in",((debiet*bijvangst)*$Q$17)*draaiuren)</f>
        <v>39600</v>
      </c>
      <c r="R19" s="58" t="s">
        <v>156</v>
      </c>
      <c r="S19" s="58"/>
      <c r="T19" s="132"/>
      <c r="U19" s="58"/>
      <c r="V19" s="58"/>
      <c r="W19" s="56"/>
      <c r="X19" s="56"/>
      <c r="Y19" s="56"/>
      <c r="Z19" s="56"/>
      <c r="AA19" s="56"/>
      <c r="AB19" s="56"/>
      <c r="AC19" s="56"/>
      <c r="AD19" s="56"/>
      <c r="AE19" s="56"/>
      <c r="AF19" s="56"/>
      <c r="AG19" s="56"/>
      <c r="AH19" s="56"/>
      <c r="AI19" s="56"/>
      <c r="AJ19" s="56"/>
      <c r="AK19" s="56"/>
      <c r="AL19" s="37"/>
      <c r="AM19" s="56"/>
      <c r="AN19" s="56"/>
      <c r="AO19" s="56"/>
      <c r="AP19" s="56"/>
      <c r="AQ19" s="56"/>
      <c r="AR19" s="56"/>
      <c r="AS19" s="56"/>
      <c r="AT19" s="56"/>
    </row>
    <row r="20" spans="2:51" ht="21" x14ac:dyDescent="0.35">
      <c r="B20" s="38"/>
      <c r="C20" s="119" t="str">
        <f>IF(AND(GT_elec="",COP_GT=""),"Vul elec verbruik of COP in (cel N13 of N14)",IF(AND(GT_elec&gt;=0.1,COP_GT&gt;=0.1),"Vul óf elek verbruik in óf COP in (cel N13 of N14)",IF(COP_GT="0","Verwijder 0 in cel N14",IF(GT_elec="0","Verwijder 0 in cel N13",""))))</f>
        <v/>
      </c>
      <c r="D20" s="56"/>
      <c r="E20" s="56"/>
      <c r="F20" s="56"/>
      <c r="G20" s="56"/>
      <c r="H20" s="56"/>
      <c r="I20" s="56"/>
      <c r="J20" s="56"/>
      <c r="L20" s="58"/>
      <c r="M20" s="47" t="s">
        <v>180</v>
      </c>
      <c r="N20" s="124">
        <f>N19*draaiuren*3.6</f>
        <v>250800.00000000003</v>
      </c>
      <c r="O20" s="97" t="s">
        <v>157</v>
      </c>
      <c r="P20" s="58"/>
      <c r="Q20" s="124">
        <f>IF(bijvangst="vul waarde in","vul waarde in",((debiet*bijvangst)*$Q$17)*draaiuren*rendement_gasketel)</f>
        <v>31680</v>
      </c>
      <c r="R20" s="58" t="s">
        <v>157</v>
      </c>
      <c r="S20" s="58"/>
      <c r="T20" s="132"/>
      <c r="U20" s="58"/>
      <c r="V20" s="58"/>
      <c r="W20" s="56"/>
      <c r="X20" s="56"/>
      <c r="Y20" s="56"/>
      <c r="Z20" s="56"/>
      <c r="AA20" s="56"/>
      <c r="AB20" s="56"/>
      <c r="AC20" s="56"/>
      <c r="AD20" s="56"/>
      <c r="AE20" s="56"/>
      <c r="AF20" s="56"/>
      <c r="AG20" s="56"/>
      <c r="AH20" s="56"/>
      <c r="AI20" s="56"/>
      <c r="AJ20" s="56"/>
      <c r="AK20" s="56"/>
      <c r="AL20" s="37"/>
      <c r="AM20" s="56"/>
      <c r="AN20" s="56"/>
      <c r="AO20" s="56"/>
      <c r="AP20" s="56"/>
      <c r="AQ20" s="56"/>
      <c r="AR20" s="56"/>
      <c r="AS20" s="56"/>
      <c r="AT20" s="56"/>
    </row>
    <row r="21" spans="2:51" ht="6.75" customHeight="1" x14ac:dyDescent="0.25">
      <c r="B21" s="38"/>
      <c r="C21" s="56"/>
      <c r="D21" s="56"/>
      <c r="E21" s="56"/>
      <c r="F21" s="56"/>
      <c r="G21" s="56"/>
      <c r="H21" s="56"/>
      <c r="I21" s="56"/>
      <c r="J21" s="56"/>
      <c r="L21" s="58"/>
      <c r="M21" s="67"/>
      <c r="N21" s="198"/>
      <c r="O21" s="58"/>
      <c r="P21" s="58"/>
      <c r="Q21" s="198"/>
      <c r="R21" s="58"/>
      <c r="S21" s="58"/>
      <c r="T21" s="58"/>
      <c r="U21" s="58"/>
      <c r="V21" s="58"/>
      <c r="W21" s="56"/>
      <c r="X21" s="56"/>
      <c r="Y21" s="56"/>
      <c r="Z21" s="56"/>
      <c r="AA21" s="56"/>
      <c r="AB21" s="56"/>
      <c r="AC21" s="56"/>
      <c r="AD21" s="56"/>
      <c r="AE21" s="56"/>
      <c r="AF21" s="56"/>
      <c r="AG21" s="56"/>
      <c r="AH21" s="56"/>
      <c r="AI21" s="56"/>
      <c r="AJ21" s="56"/>
      <c r="AK21" s="56"/>
      <c r="AL21" s="37"/>
      <c r="AM21" s="56"/>
      <c r="AN21" s="56"/>
      <c r="AO21" s="56"/>
      <c r="AP21" s="56"/>
      <c r="AQ21" s="56"/>
      <c r="AR21" s="56"/>
      <c r="AS21" s="56"/>
      <c r="AT21" s="56"/>
    </row>
    <row r="22" spans="2:51" ht="32.25" customHeight="1" x14ac:dyDescent="0.25">
      <c r="B22" s="38"/>
      <c r="C22" s="56"/>
      <c r="D22" s="56"/>
      <c r="E22" s="56"/>
      <c r="F22" s="56"/>
      <c r="G22" s="56"/>
      <c r="H22" s="56"/>
      <c r="I22" s="56"/>
      <c r="J22" s="56"/>
      <c r="L22" s="56"/>
      <c r="M22" s="118"/>
      <c r="N22" s="199"/>
      <c r="O22" s="56"/>
      <c r="P22" s="56"/>
      <c r="Q22" s="199"/>
      <c r="R22" s="56"/>
      <c r="S22" s="56"/>
      <c r="T22" s="56"/>
      <c r="U22" s="56"/>
      <c r="V22" s="56"/>
      <c r="W22" s="56"/>
      <c r="X22" s="56"/>
      <c r="Y22" s="56"/>
      <c r="Z22" s="56"/>
      <c r="AA22" s="56"/>
      <c r="AB22" s="56"/>
      <c r="AC22" s="56"/>
      <c r="AD22" s="56"/>
      <c r="AE22" s="56"/>
      <c r="AF22" s="56"/>
      <c r="AG22" s="56"/>
      <c r="AH22" s="56"/>
      <c r="AI22" s="56"/>
      <c r="AJ22" s="56"/>
      <c r="AK22" s="56"/>
      <c r="AL22" s="37"/>
      <c r="AM22" s="56"/>
      <c r="AN22" s="56"/>
      <c r="AO22" s="56"/>
      <c r="AP22" s="56"/>
      <c r="AQ22" s="56"/>
      <c r="AR22" s="56"/>
      <c r="AS22" s="56"/>
      <c r="AT22" s="56"/>
    </row>
    <row r="23" spans="2:51" x14ac:dyDescent="0.25">
      <c r="B23" s="38"/>
      <c r="C23" s="56"/>
      <c r="D23" s="56"/>
      <c r="E23" s="56"/>
      <c r="F23" s="56"/>
      <c r="G23" s="56"/>
      <c r="H23" s="56"/>
      <c r="I23" s="56"/>
      <c r="J23" s="56"/>
      <c r="L23" s="56"/>
      <c r="M23" s="118"/>
      <c r="N23" s="199"/>
      <c r="O23" s="56"/>
      <c r="P23" s="56"/>
      <c r="Q23" s="199"/>
      <c r="R23" s="56"/>
      <c r="S23" s="56"/>
      <c r="T23" s="56"/>
      <c r="U23" s="56"/>
      <c r="V23" s="56"/>
      <c r="W23" s="56"/>
      <c r="X23" s="56"/>
      <c r="Y23" s="56"/>
      <c r="Z23" s="56"/>
      <c r="AA23" s="56"/>
      <c r="AB23" s="56"/>
      <c r="AC23" s="56"/>
      <c r="AD23" s="56"/>
      <c r="AE23" s="56"/>
      <c r="AF23" s="56"/>
      <c r="AG23" s="56"/>
      <c r="AH23" s="56"/>
      <c r="AI23" s="56"/>
      <c r="AJ23" s="56"/>
      <c r="AK23" s="56"/>
      <c r="AL23" s="37"/>
      <c r="AM23" s="56"/>
      <c r="AN23" s="56"/>
      <c r="AO23" s="56"/>
      <c r="AP23" s="56"/>
      <c r="AQ23" s="56"/>
      <c r="AR23" s="56"/>
      <c r="AS23" s="56"/>
      <c r="AT23" s="56"/>
    </row>
    <row r="24" spans="2:51" x14ac:dyDescent="0.25">
      <c r="B24" s="38"/>
      <c r="C24" s="56"/>
      <c r="D24" s="56"/>
      <c r="E24" s="56"/>
      <c r="F24" s="56"/>
      <c r="G24" s="56"/>
      <c r="H24" s="56"/>
      <c r="I24" s="56"/>
      <c r="J24" s="56"/>
      <c r="L24" s="56"/>
      <c r="M24" s="56"/>
      <c r="N24" s="73"/>
      <c r="O24" s="56"/>
      <c r="P24" s="56"/>
      <c r="Q24" s="56"/>
      <c r="R24" s="56"/>
      <c r="S24" s="56"/>
      <c r="T24" s="56"/>
      <c r="U24" s="56"/>
      <c r="V24" s="56"/>
      <c r="W24" s="56"/>
      <c r="X24" s="56"/>
      <c r="Y24" s="56"/>
      <c r="Z24" s="56"/>
      <c r="AA24" s="56"/>
      <c r="AB24" s="56"/>
      <c r="AC24" s="56"/>
      <c r="AD24" s="56"/>
      <c r="AE24" s="56"/>
      <c r="AF24" s="56"/>
      <c r="AG24" s="56"/>
      <c r="AH24" s="56"/>
      <c r="AI24" s="56"/>
      <c r="AJ24" s="56"/>
      <c r="AK24" s="56"/>
      <c r="AL24" s="37"/>
      <c r="AM24" s="56"/>
      <c r="AN24" s="56"/>
      <c r="AO24" s="56"/>
      <c r="AP24" s="56"/>
      <c r="AQ24" s="56"/>
      <c r="AR24" s="56"/>
      <c r="AS24" s="56"/>
      <c r="AT24" s="56"/>
    </row>
    <row r="25" spans="2:51" x14ac:dyDescent="0.25">
      <c r="B25" s="38"/>
      <c r="C25" s="56"/>
      <c r="D25" s="56"/>
      <c r="E25" s="56"/>
      <c r="F25" s="56"/>
      <c r="G25" s="56"/>
      <c r="H25" s="56"/>
      <c r="I25" s="56"/>
      <c r="J25" s="56"/>
      <c r="L25" s="56"/>
      <c r="M25" s="56"/>
      <c r="N25" s="73"/>
      <c r="O25" s="56"/>
      <c r="P25" s="56"/>
      <c r="Q25" s="56"/>
      <c r="R25" s="56"/>
      <c r="S25" s="56"/>
      <c r="T25" s="56"/>
      <c r="U25" s="56"/>
      <c r="V25" s="56"/>
      <c r="W25" s="56"/>
      <c r="X25" s="56"/>
      <c r="Y25" s="56"/>
      <c r="Z25" s="56"/>
      <c r="AA25" s="56"/>
      <c r="AB25" s="56"/>
      <c r="AC25" s="56"/>
      <c r="AD25" s="56"/>
      <c r="AE25" s="56"/>
      <c r="AF25" s="56"/>
      <c r="AG25" s="56"/>
      <c r="AH25" s="56"/>
      <c r="AI25" s="56"/>
      <c r="AJ25" s="56"/>
      <c r="AK25" s="56"/>
      <c r="AL25" s="37"/>
      <c r="AM25" s="56"/>
      <c r="AN25" s="56"/>
      <c r="AO25" s="56"/>
      <c r="AP25" s="56"/>
      <c r="AQ25" s="56"/>
      <c r="AR25" s="56"/>
      <c r="AS25" s="56"/>
      <c r="AT25" s="56"/>
    </row>
    <row r="26" spans="2:51" x14ac:dyDescent="0.25">
      <c r="B26" s="38"/>
      <c r="C26" s="56"/>
      <c r="D26" s="56"/>
      <c r="E26" s="56"/>
      <c r="F26" s="56"/>
      <c r="G26" s="56"/>
      <c r="H26" s="56"/>
      <c r="I26" s="56"/>
      <c r="J26" s="56"/>
      <c r="L26" s="56"/>
      <c r="M26" s="56"/>
      <c r="N26" s="73"/>
      <c r="O26" s="56"/>
      <c r="P26" s="56"/>
      <c r="Q26" s="56"/>
      <c r="R26" s="56"/>
      <c r="S26" s="56"/>
      <c r="T26" s="56"/>
      <c r="U26" s="56"/>
      <c r="V26" s="56"/>
      <c r="W26" s="56"/>
      <c r="X26" s="56"/>
      <c r="Y26" s="56"/>
      <c r="Z26" s="56"/>
      <c r="AA26" s="56"/>
      <c r="AB26" s="56"/>
      <c r="AC26" s="56"/>
      <c r="AD26" s="56"/>
      <c r="AE26" s="56"/>
      <c r="AF26" s="56"/>
      <c r="AG26" s="56"/>
      <c r="AH26" s="56"/>
      <c r="AI26" s="56"/>
      <c r="AJ26" s="56"/>
      <c r="AK26" s="56"/>
      <c r="AL26" s="37"/>
      <c r="AM26" s="56"/>
      <c r="AN26" s="56"/>
      <c r="AO26" s="56"/>
      <c r="AP26" s="56"/>
      <c r="AQ26" s="56"/>
      <c r="AR26" s="56"/>
      <c r="AS26" s="56"/>
      <c r="AT26" s="56"/>
    </row>
    <row r="27" spans="2:51" x14ac:dyDescent="0.25">
      <c r="B27" s="38"/>
      <c r="C27" s="56"/>
      <c r="D27" s="56"/>
      <c r="E27" s="56"/>
      <c r="F27" s="56"/>
      <c r="G27" s="56"/>
      <c r="H27" s="56"/>
      <c r="I27" s="56"/>
      <c r="J27" s="56"/>
      <c r="L27" s="56"/>
      <c r="M27" s="56"/>
      <c r="N27" s="73"/>
      <c r="O27" s="56"/>
      <c r="P27" s="56"/>
      <c r="Q27" s="56"/>
      <c r="R27" s="56"/>
      <c r="S27" s="56"/>
      <c r="T27" s="56"/>
      <c r="U27" s="56"/>
      <c r="V27" s="56"/>
      <c r="W27" s="56"/>
      <c r="X27" s="56"/>
      <c r="Y27" s="56"/>
      <c r="Z27" s="56"/>
      <c r="AA27" s="56"/>
      <c r="AB27" s="56"/>
      <c r="AC27" s="56"/>
      <c r="AD27" s="56"/>
      <c r="AE27" s="56"/>
      <c r="AF27" s="56"/>
      <c r="AG27" s="56"/>
      <c r="AH27" s="56"/>
      <c r="AI27" s="56"/>
      <c r="AJ27" s="56"/>
      <c r="AK27" s="56"/>
      <c r="AL27" s="37"/>
      <c r="AM27" s="56"/>
      <c r="AN27" s="56"/>
      <c r="AO27" s="56"/>
      <c r="AP27" s="56"/>
      <c r="AQ27" s="56"/>
      <c r="AR27" s="56"/>
      <c r="AS27" s="56"/>
      <c r="AT27" s="56"/>
    </row>
    <row r="28" spans="2:51" x14ac:dyDescent="0.25">
      <c r="B28" s="38"/>
      <c r="C28" s="56"/>
      <c r="D28" s="56"/>
      <c r="E28" s="56"/>
      <c r="F28" s="56"/>
      <c r="G28" s="56"/>
      <c r="H28" s="56"/>
      <c r="I28" s="56"/>
      <c r="J28" s="56"/>
      <c r="L28" s="56"/>
      <c r="M28" s="56"/>
      <c r="N28" s="73"/>
      <c r="O28" s="56"/>
      <c r="P28" s="56"/>
      <c r="Q28" s="56"/>
      <c r="R28" s="56"/>
      <c r="S28" s="56"/>
      <c r="T28" s="56"/>
      <c r="U28" s="56"/>
      <c r="V28" s="56"/>
      <c r="W28" s="56"/>
      <c r="X28" s="56"/>
      <c r="Y28" s="56"/>
      <c r="Z28" s="56"/>
      <c r="AA28" s="56"/>
      <c r="AB28" s="56"/>
      <c r="AC28" s="56"/>
      <c r="AD28" s="56"/>
      <c r="AE28" s="56"/>
      <c r="AF28" s="56"/>
      <c r="AG28" s="56"/>
      <c r="AH28" s="56"/>
      <c r="AI28" s="56"/>
      <c r="AJ28" s="56"/>
      <c r="AK28" s="56"/>
      <c r="AL28" s="37"/>
      <c r="AM28" s="56"/>
      <c r="AN28" s="56"/>
      <c r="AO28" s="56"/>
      <c r="AP28" s="56"/>
      <c r="AQ28" s="56"/>
      <c r="AR28" s="56"/>
      <c r="AS28" s="56"/>
      <c r="AT28" s="56"/>
    </row>
    <row r="29" spans="2:51" x14ac:dyDescent="0.25">
      <c r="B29" s="38"/>
      <c r="C29" s="56"/>
      <c r="D29" s="56"/>
      <c r="E29" s="56"/>
      <c r="F29" s="56"/>
      <c r="G29" s="56"/>
      <c r="H29" s="56"/>
      <c r="I29" s="56"/>
      <c r="J29" s="56"/>
      <c r="L29" s="56"/>
      <c r="M29" s="56"/>
      <c r="N29" s="73"/>
      <c r="O29" s="56"/>
      <c r="P29" s="56"/>
      <c r="Q29" s="56"/>
      <c r="R29" s="56"/>
      <c r="S29" s="56"/>
      <c r="T29" s="56"/>
      <c r="U29" s="56"/>
      <c r="V29" s="56"/>
      <c r="W29" s="56"/>
      <c r="X29" s="56"/>
      <c r="Y29" s="56"/>
      <c r="Z29" s="56"/>
      <c r="AA29" s="56"/>
      <c r="AB29" s="56"/>
      <c r="AC29" s="56"/>
      <c r="AD29" s="56"/>
      <c r="AE29" s="56"/>
      <c r="AF29" s="56"/>
      <c r="AG29" s="56"/>
      <c r="AH29" s="56"/>
      <c r="AI29" s="56"/>
      <c r="AJ29" s="56"/>
      <c r="AK29" s="56"/>
      <c r="AL29" s="37"/>
      <c r="AM29" s="56"/>
      <c r="AN29" s="56"/>
      <c r="AO29" s="56"/>
      <c r="AP29" s="56"/>
      <c r="AQ29" s="56"/>
      <c r="AR29" s="56"/>
      <c r="AS29" s="56"/>
      <c r="AT29" s="56"/>
    </row>
    <row r="30" spans="2:51" x14ac:dyDescent="0.25">
      <c r="B30" s="38"/>
      <c r="C30" s="56"/>
      <c r="D30" s="56"/>
      <c r="E30" s="56"/>
      <c r="F30" s="56"/>
      <c r="G30" s="56"/>
      <c r="H30" s="56"/>
      <c r="I30" s="56"/>
      <c r="J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37"/>
      <c r="AM30" s="56"/>
      <c r="AN30" s="56"/>
      <c r="AO30" s="56"/>
      <c r="AP30" s="56"/>
      <c r="AQ30" s="56"/>
      <c r="AR30" s="56"/>
      <c r="AS30" s="56"/>
      <c r="AT30" s="56"/>
    </row>
    <row r="31" spans="2:51" x14ac:dyDescent="0.25">
      <c r="B31" s="38"/>
      <c r="C31" s="56"/>
      <c r="D31" s="56"/>
      <c r="E31" s="56"/>
      <c r="F31" s="56"/>
      <c r="G31" s="56"/>
      <c r="H31" s="56"/>
      <c r="I31" s="56"/>
      <c r="J31" s="56"/>
      <c r="L31" s="73"/>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37"/>
      <c r="AM31" s="56"/>
      <c r="AN31" s="56"/>
      <c r="AO31" s="56"/>
      <c r="AP31" s="56"/>
      <c r="AQ31" s="56"/>
      <c r="AR31" s="56"/>
      <c r="AS31" s="56"/>
      <c r="AT31" s="56"/>
    </row>
    <row r="32" spans="2:51" x14ac:dyDescent="0.25">
      <c r="B32" s="38"/>
      <c r="C32" s="56"/>
      <c r="D32" s="56"/>
      <c r="E32" s="56"/>
      <c r="F32" s="56"/>
      <c r="G32" s="56"/>
      <c r="H32" s="56"/>
      <c r="I32" s="56"/>
      <c r="J32" s="56"/>
      <c r="L32" s="107"/>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37"/>
      <c r="AM32" s="56"/>
      <c r="AN32" s="56"/>
      <c r="AO32" s="56"/>
      <c r="AP32" s="56"/>
      <c r="AQ32" s="56"/>
      <c r="AR32" s="56"/>
      <c r="AS32" s="56"/>
      <c r="AT32" s="56"/>
    </row>
    <row r="33" spans="2:48" x14ac:dyDescent="0.25">
      <c r="B33" s="38"/>
      <c r="C33" s="56"/>
      <c r="D33" s="56"/>
      <c r="E33" s="56"/>
      <c r="F33" s="56"/>
      <c r="G33" s="56"/>
      <c r="H33" s="56"/>
      <c r="I33" s="56"/>
      <c r="J33" s="56"/>
      <c r="L33" s="107"/>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37"/>
      <c r="AM33" s="56"/>
      <c r="AN33" s="56"/>
      <c r="AO33" s="56"/>
      <c r="AP33" s="56"/>
      <c r="AQ33" s="56"/>
      <c r="AR33" s="56"/>
      <c r="AS33" s="56"/>
      <c r="AT33" s="56"/>
    </row>
    <row r="34" spans="2:48" x14ac:dyDescent="0.25">
      <c r="B34" s="38"/>
      <c r="C34" s="56"/>
      <c r="D34" s="56"/>
      <c r="E34" s="56"/>
      <c r="F34" s="56"/>
      <c r="G34" s="56"/>
      <c r="H34" s="56"/>
      <c r="I34" s="56"/>
      <c r="J34" s="56"/>
      <c r="L34" s="117"/>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37"/>
      <c r="AM34" s="56"/>
      <c r="AN34" s="56"/>
      <c r="AO34" s="56"/>
      <c r="AP34" s="56"/>
      <c r="AQ34" s="56"/>
      <c r="AR34" s="56"/>
      <c r="AS34" s="56"/>
      <c r="AT34" s="56"/>
    </row>
    <row r="35" spans="2:48" x14ac:dyDescent="0.25">
      <c r="B35" s="185"/>
      <c r="F35" s="152"/>
      <c r="G35" s="152"/>
      <c r="H35" s="152"/>
      <c r="I35" s="152"/>
      <c r="J35" s="153"/>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5"/>
      <c r="AM35" s="56"/>
      <c r="AN35" s="56"/>
      <c r="AO35" s="56"/>
      <c r="AP35" s="56"/>
      <c r="AQ35" s="56"/>
      <c r="AR35" s="56"/>
      <c r="AS35" s="56"/>
      <c r="AT35" s="56"/>
    </row>
    <row r="36" spans="2:48" x14ac:dyDescent="0.25">
      <c r="B36" s="151"/>
      <c r="C36" s="156"/>
      <c r="D36" s="156" t="s">
        <v>148</v>
      </c>
      <c r="E36" s="152"/>
      <c r="F36" s="153"/>
      <c r="G36" s="193"/>
      <c r="H36" s="193" t="s">
        <v>1</v>
      </c>
      <c r="I36" s="159"/>
      <c r="J36" s="156" t="s">
        <v>149</v>
      </c>
      <c r="K36" s="156"/>
      <c r="M36" s="152" t="s">
        <v>130</v>
      </c>
      <c r="N36" s="154" t="s">
        <v>126</v>
      </c>
      <c r="O36" s="155"/>
      <c r="P36" s="155"/>
      <c r="Q36" s="155" t="s">
        <v>93</v>
      </c>
      <c r="R36" s="155"/>
      <c r="S36" s="161"/>
      <c r="T36" s="154" t="s">
        <v>125</v>
      </c>
      <c r="U36" s="155"/>
      <c r="V36" s="156"/>
      <c r="W36" s="156"/>
      <c r="X36" s="156"/>
      <c r="Y36" s="157" t="s">
        <v>94</v>
      </c>
      <c r="Z36" s="157"/>
      <c r="AA36" s="157" t="s">
        <v>95</v>
      </c>
      <c r="AB36" s="157"/>
      <c r="AC36" s="157" t="s">
        <v>96</v>
      </c>
      <c r="AD36" s="157"/>
      <c r="AE36" s="156"/>
      <c r="AF36" s="156"/>
      <c r="AG36" s="158" t="s">
        <v>97</v>
      </c>
      <c r="AH36" s="158"/>
      <c r="AI36" s="158" t="s">
        <v>98</v>
      </c>
      <c r="AJ36" s="158"/>
      <c r="AK36" s="56"/>
      <c r="AL36" s="37"/>
      <c r="AM36" s="56"/>
      <c r="AN36" s="56"/>
      <c r="AO36" s="56"/>
      <c r="AP36" s="56"/>
      <c r="AQ36" s="56"/>
      <c r="AR36" s="56"/>
      <c r="AS36" s="56"/>
      <c r="AT36" s="56"/>
    </row>
    <row r="37" spans="2:48" ht="18" x14ac:dyDescent="0.35">
      <c r="B37" s="151"/>
      <c r="C37" s="152" t="s">
        <v>173</v>
      </c>
      <c r="D37" s="186">
        <f>J37*(1-aandeel_verlies)</f>
        <v>300.048</v>
      </c>
      <c r="E37" s="153" t="s">
        <v>169</v>
      </c>
      <c r="F37" s="153"/>
      <c r="G37" s="166"/>
      <c r="H37" s="167"/>
      <c r="I37" s="167"/>
      <c r="J37" s="163">
        <f>SUM(N37,Q37,Y37,AA37,AC37,T37,AG37,AI37)</f>
        <v>375.06</v>
      </c>
      <c r="K37" s="153" t="s">
        <v>152</v>
      </c>
      <c r="M37" s="152" t="s">
        <v>147</v>
      </c>
      <c r="N37" s="160">
        <f>GT_prod_water/1000</f>
        <v>250.80000000000004</v>
      </c>
      <c r="O37" s="161" t="s">
        <v>152</v>
      </c>
      <c r="P37" s="161"/>
      <c r="Q37" s="160">
        <f>GT_prod_gas/1000</f>
        <v>31.68</v>
      </c>
      <c r="R37" s="161" t="s">
        <v>152</v>
      </c>
      <c r="S37" s="161"/>
      <c r="T37" s="160">
        <f>U13/1000</f>
        <v>25.08</v>
      </c>
      <c r="U37" s="161" t="s">
        <v>152</v>
      </c>
      <c r="V37" s="153"/>
      <c r="W37" s="153"/>
      <c r="X37" s="153"/>
      <c r="Y37" s="162">
        <f>aandeel_bron1*$D$8/1000</f>
        <v>0</v>
      </c>
      <c r="Z37" s="162" t="s">
        <v>152</v>
      </c>
      <c r="AA37" s="162">
        <f>aandeel_bron2*$D$8/1000</f>
        <v>0</v>
      </c>
      <c r="AB37" s="162" t="s">
        <v>152</v>
      </c>
      <c r="AC37" s="162">
        <f>aandeel_bron3*$D$8/1000</f>
        <v>0</v>
      </c>
      <c r="AD37" s="162" t="s">
        <v>152</v>
      </c>
      <c r="AE37" s="163"/>
      <c r="AF37" s="163"/>
      <c r="AG37" s="164">
        <f>aandeel_piek1*$D$8/1000</f>
        <v>67.5</v>
      </c>
      <c r="AH37" s="165" t="s">
        <v>152</v>
      </c>
      <c r="AI37" s="164">
        <f>aandeel_piek2*$D$8/1000</f>
        <v>0</v>
      </c>
      <c r="AJ37" s="165" t="s">
        <v>152</v>
      </c>
      <c r="AK37" s="56"/>
      <c r="AL37" s="37"/>
      <c r="AM37" s="56"/>
      <c r="AN37" s="56"/>
      <c r="AO37" s="56"/>
      <c r="AP37" s="56"/>
      <c r="AQ37" s="56"/>
      <c r="AR37" s="56"/>
      <c r="AS37" s="56"/>
      <c r="AT37" s="56"/>
    </row>
    <row r="38" spans="2:48" ht="18" x14ac:dyDescent="0.35">
      <c r="B38" s="151"/>
      <c r="C38" s="153"/>
      <c r="D38" s="163">
        <f>J38</f>
        <v>8286.4625000000015</v>
      </c>
      <c r="E38" s="153" t="s">
        <v>151</v>
      </c>
      <c r="F38" s="153"/>
      <c r="G38" s="166"/>
      <c r="H38" s="167"/>
      <c r="I38" s="167"/>
      <c r="J38" s="163">
        <f>SUM(N38,Q38,Y38,AA38,AC38,T38,AG38,AI38)</f>
        <v>8286.4625000000015</v>
      </c>
      <c r="K38" s="153" t="s">
        <v>151</v>
      </c>
      <c r="M38" s="152" t="s">
        <v>181</v>
      </c>
      <c r="N38" s="160">
        <f>IF(AND(GT_elec="",COP_GT=""),"vul elec verbruik of COP in",IF(AND(COP_GT&gt;0.1,GT_elec&lt;0.1),((GT_prod_water/COP_GT)*emissiefactor_elektriciteit_2020),IF(AND(GT_elec&gt;0.1,COP_GT&lt;0.1),GT_elec*emissiefactor_elektriciteit_2020)))/1000</f>
        <v>1045.0000000000002</v>
      </c>
      <c r="O38" s="161" t="s">
        <v>151</v>
      </c>
      <c r="P38" s="161"/>
      <c r="Q38" s="160">
        <f>$Q$19*$Q$15/1000</f>
        <v>2534.4</v>
      </c>
      <c r="R38" s="161" t="s">
        <v>151</v>
      </c>
      <c r="S38" s="161"/>
      <c r="T38" s="160">
        <f>(1/COP_WP)*U13*emissiefactor_elektriciteit_2020/1000</f>
        <v>418</v>
      </c>
      <c r="U38" s="161" t="s">
        <v>151</v>
      </c>
      <c r="V38" s="153"/>
      <c r="W38" s="153"/>
      <c r="X38" s="153"/>
      <c r="Y38" s="162">
        <f>VLOOKUP($Y$11,'Parameters &amp; aannames'!$C$32:$I$47,MATCH(AO53,'Parameters &amp; aannames'!$C$32:$I$32,0),FALSE)*Y37</f>
        <v>0</v>
      </c>
      <c r="Z38" s="168" t="s">
        <v>151</v>
      </c>
      <c r="AA38" s="162">
        <f>VLOOKUP($AA$11,'Parameters &amp; aannames'!$C$32:$I$47,MATCH(AO53,'Parameters &amp; aannames'!$C$32:$I$32,0),FALSE)*AA37</f>
        <v>0</v>
      </c>
      <c r="AB38" s="168" t="s">
        <v>151</v>
      </c>
      <c r="AC38" s="162">
        <f>VLOOKUP($AC$11,'Parameters &amp; aannames'!$C$32:$I$47,MATCH(AO53,'Parameters &amp; aannames'!$C$32:$I$32,0),FALSE)*AC37</f>
        <v>0</v>
      </c>
      <c r="AD38" s="168" t="s">
        <v>151</v>
      </c>
      <c r="AE38" s="153"/>
      <c r="AF38" s="153"/>
      <c r="AG38" s="164">
        <f>VLOOKUP($AG$11,'Parameters &amp; aannames'!$C$32:$I$47,MATCH(AO53,'Parameters &amp; aannames'!$C$32:$I$32,0),FALSE)*AG37</f>
        <v>4289.0625</v>
      </c>
      <c r="AH38" s="169" t="s">
        <v>151</v>
      </c>
      <c r="AI38" s="169">
        <f>VLOOKUP($AG$11,'Parameters &amp; aannames'!$C$32:$I$47,MATCH(AO53,'Parameters &amp; aannames'!$C$32:$I$32,0),FALSE)*AI37</f>
        <v>0</v>
      </c>
      <c r="AJ38" s="169" t="s">
        <v>151</v>
      </c>
      <c r="AK38" s="56"/>
      <c r="AL38" s="37"/>
      <c r="AM38" s="56"/>
      <c r="AN38" s="56"/>
      <c r="AO38" s="56"/>
      <c r="AP38" s="56"/>
      <c r="AQ38" s="56"/>
      <c r="AR38" s="56"/>
      <c r="AS38" s="56"/>
      <c r="AT38" s="56"/>
    </row>
    <row r="39" spans="2:48" ht="18" x14ac:dyDescent="0.35">
      <c r="B39" s="187"/>
      <c r="C39" s="153"/>
      <c r="D39" s="171">
        <f>J39/(1-aandeel_verlies)</f>
        <v>27.621541666666669</v>
      </c>
      <c r="E39" s="153" t="s">
        <v>15</v>
      </c>
      <c r="F39" s="173"/>
      <c r="G39" s="188"/>
      <c r="H39" s="167"/>
      <c r="I39" s="167"/>
      <c r="J39" s="171">
        <f>SUM(N39,Q39,Y39,AA39,AC39,T39,AG39,AI39)</f>
        <v>22.097233333333335</v>
      </c>
      <c r="K39" s="153" t="s">
        <v>15</v>
      </c>
      <c r="M39" s="152" t="s">
        <v>182</v>
      </c>
      <c r="N39" s="189">
        <f>IF(N37=0,0,N38/N37)*aandeel_geowater</f>
        <v>2.7866666666666671</v>
      </c>
      <c r="O39" s="161" t="s">
        <v>15</v>
      </c>
      <c r="P39" s="161"/>
      <c r="Q39" s="189">
        <f>IF(Q37=0,0,Q38/Q37)*aandeel_formatiegas</f>
        <v>6.7584</v>
      </c>
      <c r="R39" s="161" t="s">
        <v>15</v>
      </c>
      <c r="S39" s="161"/>
      <c r="T39" s="189">
        <f>IF(T37=0,0,T38/T37)*aandeel_WP</f>
        <v>1.1146666666666667</v>
      </c>
      <c r="U39" s="161" t="s">
        <v>15</v>
      </c>
      <c r="V39" s="153"/>
      <c r="W39" s="153"/>
      <c r="X39" s="153"/>
      <c r="Y39" s="190">
        <f>IF(Y37=0,0,Y38/Y37)*aandeel_bron1</f>
        <v>0</v>
      </c>
      <c r="Z39" s="168" t="s">
        <v>15</v>
      </c>
      <c r="AA39" s="190">
        <f>IF(AA37=0,0,AA38/AA37)*aandeel_bron2</f>
        <v>0</v>
      </c>
      <c r="AB39" s="168" t="s">
        <v>15</v>
      </c>
      <c r="AC39" s="190">
        <f>IF(AC37=0,0,AC38/AC37)*aandeel_bron3</f>
        <v>0</v>
      </c>
      <c r="AD39" s="168" t="s">
        <v>15</v>
      </c>
      <c r="AE39" s="153"/>
      <c r="AF39" s="153"/>
      <c r="AG39" s="170">
        <f>IF(AG37=0,0,AG38/AG37)*aandeel_piek1</f>
        <v>11.4375</v>
      </c>
      <c r="AH39" s="169" t="s">
        <v>15</v>
      </c>
      <c r="AI39" s="170">
        <f>IF(AI37=0,0,AI38/AI37)*aandeel_piek2</f>
        <v>0</v>
      </c>
      <c r="AJ39" s="169" t="s">
        <v>15</v>
      </c>
      <c r="AK39" s="56"/>
      <c r="AL39" s="37"/>
      <c r="AM39" s="56"/>
      <c r="AN39" s="56"/>
      <c r="AO39" s="56"/>
      <c r="AP39" s="56"/>
      <c r="AQ39" s="56"/>
      <c r="AR39" s="56"/>
      <c r="AS39" s="56"/>
      <c r="AT39" s="56"/>
    </row>
    <row r="40" spans="2:48" x14ac:dyDescent="0.25">
      <c r="B40" s="38"/>
      <c r="C40" s="173"/>
      <c r="D40" s="173">
        <f>D39/$D$39</f>
        <v>1</v>
      </c>
      <c r="E40" s="173"/>
      <c r="F40" s="56"/>
      <c r="G40" s="188"/>
      <c r="H40" s="194">
        <f>D40-J40</f>
        <v>0.19999999999999996</v>
      </c>
      <c r="I40" s="177"/>
      <c r="J40" s="173">
        <f>J39/$D$39</f>
        <v>0.8</v>
      </c>
      <c r="K40" s="173"/>
      <c r="M40" s="152" t="s">
        <v>100</v>
      </c>
      <c r="N40" s="172">
        <f>N39/$D$39</f>
        <v>0.10088744141423436</v>
      </c>
      <c r="O40" s="172"/>
      <c r="P40" s="172"/>
      <c r="Q40" s="172">
        <f>Q39/$D$39</f>
        <v>0.24467859475620626</v>
      </c>
      <c r="R40" s="172"/>
      <c r="S40" s="161"/>
      <c r="T40" s="174">
        <f>T39/$D$39</f>
        <v>4.0354976565693743E-2</v>
      </c>
      <c r="U40" s="172"/>
      <c r="V40" s="173"/>
      <c r="W40" s="173"/>
      <c r="X40" s="173"/>
      <c r="Y40" s="175">
        <f>Y39/$D$39</f>
        <v>0</v>
      </c>
      <c r="Z40" s="175"/>
      <c r="AA40" s="175">
        <f>AA39/$D$39</f>
        <v>0</v>
      </c>
      <c r="AB40" s="175"/>
      <c r="AC40" s="175">
        <f>AC39/$D$39</f>
        <v>0</v>
      </c>
      <c r="AD40" s="175"/>
      <c r="AE40" s="173"/>
      <c r="AF40" s="173"/>
      <c r="AG40" s="176">
        <f>AG39/$D$39</f>
        <v>0.41407898726386555</v>
      </c>
      <c r="AH40" s="176"/>
      <c r="AI40" s="176">
        <f>AI39/$D$39</f>
        <v>0</v>
      </c>
      <c r="AJ40" s="176"/>
      <c r="AK40" s="56"/>
      <c r="AL40" s="37"/>
      <c r="AM40" s="56"/>
      <c r="AN40" s="56"/>
      <c r="AO40" s="56"/>
      <c r="AP40" s="56"/>
      <c r="AQ40" s="56"/>
      <c r="AR40" s="56"/>
      <c r="AS40" s="56"/>
      <c r="AT40" s="56"/>
    </row>
    <row r="41" spans="2:48" ht="9.75" customHeight="1" thickBot="1" x14ac:dyDescent="0.3">
      <c r="B41" s="191"/>
      <c r="C41" s="39"/>
      <c r="D41" s="39"/>
      <c r="E41" s="39"/>
      <c r="F41" s="39"/>
      <c r="G41" s="39"/>
      <c r="H41" s="39"/>
      <c r="I41" s="39"/>
      <c r="J41" s="39"/>
      <c r="K41" s="178"/>
      <c r="L41" s="178"/>
      <c r="M41" s="178"/>
      <c r="N41" s="179"/>
      <c r="O41" s="179"/>
      <c r="P41" s="179"/>
      <c r="Q41" s="179"/>
      <c r="R41" s="179"/>
      <c r="S41" s="179"/>
      <c r="T41" s="179"/>
      <c r="U41" s="178"/>
      <c r="V41" s="178"/>
      <c r="W41" s="178"/>
      <c r="X41" s="178"/>
      <c r="Y41" s="178"/>
      <c r="Z41" s="178"/>
      <c r="AA41" s="178"/>
      <c r="AB41" s="178"/>
      <c r="AC41" s="178"/>
      <c r="AD41" s="178"/>
      <c r="AE41" s="178"/>
      <c r="AF41" s="178"/>
      <c r="AG41" s="178"/>
      <c r="AH41" s="178"/>
      <c r="AI41" s="178"/>
      <c r="AJ41" s="178"/>
      <c r="AK41" s="178"/>
      <c r="AL41" s="192"/>
      <c r="AM41" s="153"/>
      <c r="AN41" s="153"/>
      <c r="AO41" s="153"/>
      <c r="AP41" s="153"/>
      <c r="AQ41" s="153"/>
      <c r="AR41" s="171"/>
      <c r="AS41" s="153"/>
      <c r="AT41" s="153"/>
      <c r="AV41" s="147"/>
    </row>
    <row r="42" spans="2:48" ht="15.75" thickBot="1" x14ac:dyDescent="0.3">
      <c r="AU42" s="115"/>
    </row>
    <row r="43" spans="2:48" x14ac:dyDescent="0.25">
      <c r="AH43" s="27"/>
      <c r="AI43" s="28"/>
      <c r="AJ43" s="28"/>
      <c r="AK43" s="28"/>
      <c r="AL43" s="28"/>
      <c r="AM43" s="28"/>
      <c r="AN43" s="28"/>
      <c r="AO43" s="28"/>
      <c r="AP43" s="28"/>
      <c r="AQ43" s="28"/>
      <c r="AR43" s="29"/>
    </row>
    <row r="44" spans="2:48" ht="15.75" thickBot="1" x14ac:dyDescent="0.3">
      <c r="AH44" s="41" t="s">
        <v>92</v>
      </c>
      <c r="AI44" s="15"/>
      <c r="AJ44" s="15"/>
      <c r="AK44" s="15"/>
      <c r="AL44" s="15"/>
      <c r="AM44" s="15"/>
      <c r="AN44" s="30"/>
      <c r="AO44" s="30">
        <v>2020</v>
      </c>
      <c r="AP44" s="30">
        <v>2025</v>
      </c>
      <c r="AQ44" s="30">
        <v>2030</v>
      </c>
      <c r="AR44" s="52" t="s">
        <v>10</v>
      </c>
    </row>
    <row r="45" spans="2:48" ht="15.75" thickTop="1" x14ac:dyDescent="0.25">
      <c r="AH45" s="31" t="s">
        <v>11</v>
      </c>
      <c r="AI45" s="56"/>
      <c r="AJ45" s="56"/>
      <c r="AK45" s="56"/>
      <c r="AL45" s="56"/>
      <c r="AM45" s="56"/>
      <c r="AN45" s="56" t="s">
        <v>12</v>
      </c>
      <c r="AO45" s="73">
        <f>IF(AND(GT_elec="",COP_GT=""),"vul elec verbruik of COP in",IF(AND(COP_GT&gt;0.1,GT_elec&lt;0.1),((GT_prod_water/COP_GT)*emissiefactor_elektriciteit_2020),IF(AND(GT_elec&gt;0.1,COP_GT&lt;0.1),GT_elec*emissiefactor_elektriciteit_2020)))</f>
        <v>1045000.0000000001</v>
      </c>
      <c r="AP45" s="73">
        <f>IF(AND(GT_elec="",COP_GT=""),"vul elec verbruik of COP in",IF(AND(COP_GT&gt;0.1,GT_elec&lt;0.1),((GT_prod_water/COP_GT)*emissiefactor_elektriciteit_2025),IF(AND(GT_elec&gt;0.1,COP_GT&lt;0.1),GT_elec*emissiefactor_elektriciteit_2025)))</f>
        <v>731500.00000000012</v>
      </c>
      <c r="AQ45" s="73">
        <f>IF(AND(GT_elec="",COP_GT=""),"vul elec verbruik of COP in",IF(AND(COP_GT&gt;0.1,GT_elec&lt;0.1),((GT_prod_water/COP_GT)*emissiefactor_elektriciteit_2030),IF(AND(GT_elec&gt;0.1,COP_GT&lt;0.1),GT_elec*emissiefactor_elektriciteit_2030)))</f>
        <v>313500.00000000006</v>
      </c>
      <c r="AR45" s="73">
        <f>IF(AND(GT_elec="",COP_GT=""),"vul elec verbruik of COP in",IF(AND(COP_GT&gt;0.1,GT_elec&lt;0.1),((GT_prod_water/COP_GT)*emissiefactor_elektriciteit_20XX),IF(AND(GT_elec&gt;0.1,COP_GT&lt;0.1),GT_elec*emissiefactor_elektriciteit_20XX)))</f>
        <v>0</v>
      </c>
    </row>
    <row r="46" spans="2:48" x14ac:dyDescent="0.25">
      <c r="AH46" s="31" t="s">
        <v>13</v>
      </c>
      <c r="AI46" s="91"/>
      <c r="AJ46" s="56"/>
      <c r="AK46" s="56"/>
      <c r="AL46" s="56"/>
      <c r="AM46" s="56"/>
      <c r="AN46" s="56" t="s">
        <v>12</v>
      </c>
      <c r="AO46" s="73">
        <f>$Q$19*$Q$15</f>
        <v>2534400</v>
      </c>
      <c r="AP46" s="73">
        <f>$Q$19*$Q$15</f>
        <v>2534400</v>
      </c>
      <c r="AQ46" s="73">
        <f>$Q$19*$Q$15</f>
        <v>2534400</v>
      </c>
      <c r="AR46" s="55">
        <f>$Q$19*$Q$15</f>
        <v>2534400</v>
      </c>
      <c r="AS46" s="56"/>
    </row>
    <row r="47" spans="2:48" x14ac:dyDescent="0.25">
      <c r="AH47" s="31" t="s">
        <v>129</v>
      </c>
      <c r="AI47" s="91"/>
      <c r="AJ47" s="56"/>
      <c r="AK47" s="56"/>
      <c r="AL47" s="56"/>
      <c r="AM47" s="56"/>
      <c r="AN47" s="56" t="s">
        <v>12</v>
      </c>
      <c r="AO47" s="73">
        <f>(1/COP_WP)*GT_prod_wp*emissiefactor_elektriciteit_2020</f>
        <v>418000</v>
      </c>
      <c r="AP47" s="73">
        <f>(1/COP_WP)*GT_prod_wp*emissiefactor_elektriciteit_2025</f>
        <v>292600</v>
      </c>
      <c r="AQ47" s="73">
        <f>(1/COP_WP)*GT_prod_wp*emissiefactor_elektriciteit_2030</f>
        <v>125400</v>
      </c>
      <c r="AR47" s="55">
        <f>(1/COP_WP)*GT_prod_wp*emissiefactor_elektriciteit_20XX</f>
        <v>0</v>
      </c>
      <c r="AS47" s="56"/>
    </row>
    <row r="48" spans="2:48" x14ac:dyDescent="0.25">
      <c r="AH48" s="31" t="s">
        <v>14</v>
      </c>
      <c r="AI48" s="56"/>
      <c r="AJ48" s="56"/>
      <c r="AK48" s="56"/>
      <c r="AL48" s="56"/>
      <c r="AM48" s="56"/>
      <c r="AN48" s="56" t="s">
        <v>15</v>
      </c>
      <c r="AO48" s="140">
        <f t="shared" ref="AO48:AO50" si="0">AO45/(GT_prod_water+GT_prod_gas+GT_prod_wp)</f>
        <v>3.3977110157367671</v>
      </c>
      <c r="AP48" s="140">
        <f t="shared" ref="AP48:AR50" si="1">AP45/(GT_prod_water+GT_prod_gas+GT_prod_wp)</f>
        <v>2.378397711015737</v>
      </c>
      <c r="AQ48" s="140">
        <f t="shared" si="1"/>
        <v>1.0193133047210303</v>
      </c>
      <c r="AR48" s="148">
        <f t="shared" si="1"/>
        <v>0</v>
      </c>
      <c r="AS48" s="56"/>
      <c r="AT48" s="13"/>
    </row>
    <row r="49" spans="34:56" x14ac:dyDescent="0.25">
      <c r="AH49" s="31" t="s">
        <v>16</v>
      </c>
      <c r="AI49" s="56"/>
      <c r="AJ49" s="56"/>
      <c r="AK49" s="56"/>
      <c r="AL49" s="56"/>
      <c r="AM49" s="56"/>
      <c r="AN49" s="56" t="s">
        <v>15</v>
      </c>
      <c r="AO49" s="140">
        <f t="shared" si="0"/>
        <v>8.2403433476394845</v>
      </c>
      <c r="AP49" s="140">
        <f t="shared" si="1"/>
        <v>8.2403433476394845</v>
      </c>
      <c r="AQ49" s="140">
        <f t="shared" si="1"/>
        <v>8.2403433476394845</v>
      </c>
      <c r="AR49" s="148">
        <f t="shared" si="1"/>
        <v>8.2403433476394845</v>
      </c>
      <c r="AS49" s="70"/>
      <c r="AT49" s="13"/>
    </row>
    <row r="50" spans="34:56" x14ac:dyDescent="0.25">
      <c r="AH50" s="31" t="s">
        <v>136</v>
      </c>
      <c r="AI50" s="56"/>
      <c r="AJ50" s="56"/>
      <c r="AK50" s="56"/>
      <c r="AL50" s="56"/>
      <c r="AM50" s="56"/>
      <c r="AN50" s="56" t="s">
        <v>15</v>
      </c>
      <c r="AO50" s="140">
        <f t="shared" si="0"/>
        <v>1.3590844062947067</v>
      </c>
      <c r="AP50" s="140">
        <f t="shared" si="1"/>
        <v>0.95135908440629469</v>
      </c>
      <c r="AQ50" s="140">
        <f t="shared" si="1"/>
        <v>0.40772532188841204</v>
      </c>
      <c r="AR50" s="148">
        <f t="shared" si="1"/>
        <v>0</v>
      </c>
      <c r="AS50" s="70"/>
      <c r="AT50" s="13"/>
    </row>
    <row r="51" spans="34:56" x14ac:dyDescent="0.25">
      <c r="AH51" s="42" t="s">
        <v>17</v>
      </c>
      <c r="AI51" s="56"/>
      <c r="AJ51" s="56"/>
      <c r="AK51" s="56"/>
      <c r="AL51" s="56"/>
      <c r="AM51" s="56"/>
      <c r="AN51" s="60" t="s">
        <v>15</v>
      </c>
      <c r="AO51" s="143">
        <f>AO48+AO49+AO50</f>
        <v>12.997138769670959</v>
      </c>
      <c r="AP51" s="143">
        <f>AP48+AP49+AP50</f>
        <v>11.570100143061516</v>
      </c>
      <c r="AQ51" s="143">
        <f>AQ48+AQ49+AQ50</f>
        <v>9.6673819742489275</v>
      </c>
      <c r="AR51" s="149">
        <f>AR48+AR49+AR50</f>
        <v>8.2403433476394845</v>
      </c>
      <c r="AS51" s="56"/>
    </row>
    <row r="52" spans="34:56" x14ac:dyDescent="0.25">
      <c r="AH52" s="42"/>
      <c r="AI52" s="56"/>
      <c r="AJ52" s="56"/>
      <c r="AK52" s="56"/>
      <c r="AL52" s="56"/>
      <c r="AM52" s="56"/>
      <c r="AN52" s="56"/>
      <c r="AO52" s="74"/>
      <c r="AP52" s="75"/>
      <c r="AQ52" s="74"/>
      <c r="AR52" s="44"/>
    </row>
    <row r="53" spans="34:56" ht="15.75" thickBot="1" x14ac:dyDescent="0.3">
      <c r="AH53" s="41" t="s">
        <v>18</v>
      </c>
      <c r="AI53" s="15"/>
      <c r="AJ53" s="15"/>
      <c r="AK53" s="15"/>
      <c r="AL53" s="15"/>
      <c r="AM53" s="15"/>
      <c r="AN53" s="30"/>
      <c r="AO53" s="50">
        <v>2020</v>
      </c>
      <c r="AP53" s="49">
        <v>2025</v>
      </c>
      <c r="AQ53" s="50">
        <v>2030</v>
      </c>
      <c r="AR53" s="51" t="s">
        <v>10</v>
      </c>
    </row>
    <row r="54" spans="34:56" ht="15.75" thickTop="1" x14ac:dyDescent="0.25">
      <c r="AH54" s="31" t="s">
        <v>19</v>
      </c>
      <c r="AI54" s="56"/>
      <c r="AJ54" s="56"/>
      <c r="AK54" s="56"/>
      <c r="AL54" s="56"/>
      <c r="AM54" s="56"/>
      <c r="AN54" s="56" t="s">
        <v>15</v>
      </c>
      <c r="AO54" s="138">
        <f>AO55+AO56+AO57</f>
        <v>10.659733333333334</v>
      </c>
      <c r="AP54" s="138">
        <f>AP55+AP56</f>
        <v>8.7090666666666667</v>
      </c>
      <c r="AQ54" s="138">
        <f>AQ55+AQ56</f>
        <v>7.5944000000000003</v>
      </c>
      <c r="AR54" s="139">
        <f>AR55+AR56</f>
        <v>6.7584</v>
      </c>
      <c r="AS54" s="56"/>
    </row>
    <row r="55" spans="34:56" x14ac:dyDescent="0.25">
      <c r="AH55" s="40" t="s">
        <v>20</v>
      </c>
      <c r="AI55" s="56"/>
      <c r="AJ55" s="56"/>
      <c r="AK55" s="56"/>
      <c r="AL55" s="56"/>
      <c r="AM55" s="56"/>
      <c r="AN55" s="56" t="s">
        <v>15</v>
      </c>
      <c r="AO55" s="138">
        <f>AO45/GT_prod_water*aandeel_geowater</f>
        <v>2.7866666666666671</v>
      </c>
      <c r="AP55" s="138">
        <f>AP45/GT_prod_water*aandeel_geowater</f>
        <v>1.950666666666667</v>
      </c>
      <c r="AQ55" s="138">
        <f>AQ45/GT_prod_water*aandeel_geowater</f>
        <v>0.83600000000000008</v>
      </c>
      <c r="AR55" s="139">
        <f>AR45/GT_prod_water*aandeel_geowater</f>
        <v>0</v>
      </c>
      <c r="AS55" s="56"/>
    </row>
    <row r="56" spans="34:56" x14ac:dyDescent="0.25">
      <c r="AH56" s="40" t="s">
        <v>21</v>
      </c>
      <c r="AI56" s="56"/>
      <c r="AJ56" s="56"/>
      <c r="AK56" s="56"/>
      <c r="AL56" s="56"/>
      <c r="AM56" s="56"/>
      <c r="AN56" s="56" t="s">
        <v>15</v>
      </c>
      <c r="AO56" s="138">
        <f>AO46/GT_prod_gas*aandeel_formatiegas</f>
        <v>6.7584</v>
      </c>
      <c r="AP56" s="138">
        <f>AP46/GT_prod_gas*aandeel_formatiegas</f>
        <v>6.7584</v>
      </c>
      <c r="AQ56" s="138">
        <f>AQ46/GT_prod_gas*aandeel_formatiegas</f>
        <v>6.7584</v>
      </c>
      <c r="AR56" s="139">
        <f>AR46/GT_prod_gas*aandeel_formatiegas</f>
        <v>6.7584</v>
      </c>
      <c r="AS56" s="56"/>
    </row>
    <row r="57" spans="34:56" x14ac:dyDescent="0.25">
      <c r="AH57" s="40" t="s">
        <v>129</v>
      </c>
      <c r="AI57" s="56"/>
      <c r="AJ57" s="56"/>
      <c r="AK57" s="56"/>
      <c r="AL57" s="56"/>
      <c r="AM57" s="56"/>
      <c r="AN57" s="56" t="s">
        <v>15</v>
      </c>
      <c r="AO57" s="138">
        <f>IF($U$11=0,0,AO47/GT_prod_wp*aandeel_WP)</f>
        <v>1.1146666666666667</v>
      </c>
      <c r="AP57" s="138">
        <f>IF($U$11=0,0,AP47/GT_prod_wp*aandeel_WP)</f>
        <v>0.78026666666666655</v>
      </c>
      <c r="AQ57" s="138">
        <f>IF($U$11=0,0,AQ47/GT_prod_wp*aandeel_WP)</f>
        <v>0.33439999999999998</v>
      </c>
      <c r="AR57" s="139">
        <f>IF($U$11=0,0,AR47/GT_prod_wp*aandeel_WP)</f>
        <v>0</v>
      </c>
      <c r="AS57" s="56"/>
    </row>
    <row r="58" spans="34:56" x14ac:dyDescent="0.25">
      <c r="AH58" s="31" t="str">
        <f>"Emissie "&amp;Y11</f>
        <v>Emissie Biomassa, uit NL 2020</v>
      </c>
      <c r="AI58" s="56"/>
      <c r="AJ58" s="56"/>
      <c r="AK58" s="56"/>
      <c r="AL58" s="56"/>
      <c r="AM58" s="56"/>
      <c r="AN58" s="56" t="s">
        <v>15</v>
      </c>
      <c r="AO58" s="138">
        <f>VLOOKUP($Y$11,'Parameters &amp; aannames'!$C$32:$I$47,MATCH(AO53,'Parameters &amp; aannames'!$C$32:$I$32,0),FALSE)*aandeel_bron1</f>
        <v>0</v>
      </c>
      <c r="AP58" s="138">
        <f>VLOOKUP($Y$11,'Parameters &amp; aannames'!$C$32:$I$47,MATCH(AP53,'Parameters &amp; aannames'!$C$32:$I$32,0),FALSE)*aandeel_bron1</f>
        <v>0</v>
      </c>
      <c r="AQ58" s="138">
        <f>VLOOKUP($Y$11,'Parameters &amp; aannames'!$C$32:$I$47,MATCH(AQ53,'Parameters &amp; aannames'!$C$32:$I$32,0),FALSE)*aandeel_bron1</f>
        <v>0</v>
      </c>
      <c r="AR58" s="139">
        <f>VLOOKUP($Y$11,'Parameters &amp; aannames'!$C$32:$I$47,MATCH(AR53,'Parameters &amp; aannames'!$C$32:$I$32,0),FALSE)*aandeel_bron1</f>
        <v>0</v>
      </c>
    </row>
    <row r="59" spans="34:56" x14ac:dyDescent="0.25">
      <c r="AH59" s="31" t="str">
        <f>"Emissie "&amp;AA11</f>
        <v xml:space="preserve">Emissie AVI  </v>
      </c>
      <c r="AI59" s="56"/>
      <c r="AJ59" s="56"/>
      <c r="AK59" s="56"/>
      <c r="AL59" s="56"/>
      <c r="AM59" s="56"/>
      <c r="AN59" s="56" t="s">
        <v>15</v>
      </c>
      <c r="AO59" s="138">
        <f>VLOOKUP($AA$11,'Parameters &amp; aannames'!$C$32:$I$47,MATCH(AO53,'Parameters &amp; aannames'!$C$32:$I$32,0),FALSE)*aandeel_bron2</f>
        <v>0</v>
      </c>
      <c r="AP59" s="138">
        <f>VLOOKUP($AA$11,'Parameters &amp; aannames'!$C$32:$I$47,MATCH(AP53,'Parameters &amp; aannames'!$C$32:$I$32,0),FALSE)*aandeel_bron2</f>
        <v>0</v>
      </c>
      <c r="AQ59" s="138">
        <f>VLOOKUP($AA$11,'Parameters &amp; aannames'!$C$32:$I$47,MATCH(AQ53,'Parameters &amp; aannames'!$C$32:$I$32,0),FALSE)*aandeel_bron2</f>
        <v>0</v>
      </c>
      <c r="AR59" s="139">
        <f>VLOOKUP($AA$11,'Parameters &amp; aannames'!$C$32:$I$47,MATCH(AR53,'Parameters &amp; aannames'!$C$32:$I$32,0),FALSE)*aandeel_bron2</f>
        <v>0</v>
      </c>
    </row>
    <row r="60" spans="34:56" x14ac:dyDescent="0.25">
      <c r="AH60" s="31" t="str">
        <f>"Emissie "&amp;AC11</f>
        <v xml:space="preserve">Emissie - bron - </v>
      </c>
      <c r="AI60" s="56"/>
      <c r="AJ60" s="56"/>
      <c r="AK60" s="56"/>
      <c r="AL60" s="56"/>
      <c r="AM60" s="56"/>
      <c r="AN60" s="56" t="s">
        <v>15</v>
      </c>
      <c r="AO60" s="138">
        <f>VLOOKUP($AC$11,'Parameters &amp; aannames'!$C$32:$I$47,MATCH(AO53,'Parameters &amp; aannames'!$C$32:$I$32,0),FALSE)*aandeel_bron3</f>
        <v>0</v>
      </c>
      <c r="AP60" s="138">
        <f>VLOOKUP($AC$11,'Parameters &amp; aannames'!$C$32:$I$47,MATCH(AP53,'Parameters &amp; aannames'!$C$32:$I$32,0),FALSE)*aandeel_bron3</f>
        <v>0</v>
      </c>
      <c r="AQ60" s="138">
        <f>VLOOKUP($AC$11,'Parameters &amp; aannames'!$C$32:$I$47,MATCH(AQ53,'Parameters &amp; aannames'!$C$32:$I$32,0),FALSE)*aandeel_bron3</f>
        <v>0</v>
      </c>
      <c r="AR60" s="139">
        <f>VLOOKUP($AC$11,'Parameters &amp; aannames'!$C$32:$I$47,MATCH(AR53,'Parameters &amp; aannames'!$C$32:$I$32,0),FALSE)*aandeel_bron3</f>
        <v>0</v>
      </c>
    </row>
    <row r="61" spans="34:56" x14ac:dyDescent="0.25">
      <c r="AH61" s="31" t="str">
        <f>"Emissie bijstook "&amp;AG11</f>
        <v>Emissie bijstook Aardgasketel (NL)</v>
      </c>
      <c r="AI61" s="56"/>
      <c r="AJ61" s="56"/>
      <c r="AK61" s="56"/>
      <c r="AL61" s="56"/>
      <c r="AM61" s="56"/>
      <c r="AN61" s="56" t="s">
        <v>15</v>
      </c>
      <c r="AO61" s="138">
        <f>VLOOKUP($AG$11,'Parameters &amp; aannames'!$C$32:$I$47,MATCH(AO53,'Parameters &amp; aannames'!$C$32:$I$32,0),FALSE)*aandeel_piek1</f>
        <v>11.4375</v>
      </c>
      <c r="AP61" s="138">
        <f>VLOOKUP($AG$11,'Parameters &amp; aannames'!$C$32:$I$47,MATCH(AP53,'Parameters &amp; aannames'!$C$32:$I$32,0),FALSE)*aandeel_piek1</f>
        <v>11.4375</v>
      </c>
      <c r="AQ61" s="138">
        <f>VLOOKUP($AG$11,'Parameters &amp; aannames'!$C$32:$I$47,MATCH(AQ53,'Parameters &amp; aannames'!$C$32:$I$32,0),FALSE)*aandeel_piek1</f>
        <v>11.4375</v>
      </c>
      <c r="AR61" s="139">
        <f>VLOOKUP($AG$11,'Parameters &amp; aannames'!$C$32:$I$47,MATCH(AR53,'Parameters &amp; aannames'!$C$32:$I$32,0),FALSE)*aandeel_piek1</f>
        <v>11.4375</v>
      </c>
    </row>
    <row r="62" spans="34:56" x14ac:dyDescent="0.25">
      <c r="AH62" s="31" t="str">
        <f>"Emissie bijstook "&amp;AI11</f>
        <v xml:space="preserve">Emissie bijstook - bron - </v>
      </c>
      <c r="AI62" s="56"/>
      <c r="AJ62" s="56"/>
      <c r="AK62" s="56"/>
      <c r="AL62" s="56"/>
      <c r="AM62" s="56"/>
      <c r="AN62" s="56" t="s">
        <v>15</v>
      </c>
      <c r="AO62" s="138">
        <f>VLOOKUP($AI$11,'Parameters &amp; aannames'!$C$32:$I$47,MATCH(AO53,'Parameters &amp; aannames'!$C$32:$I$32,0),FALSE)*aandeel_piek2</f>
        <v>0</v>
      </c>
      <c r="AP62" s="138">
        <f>VLOOKUP($AI$11,'Parameters &amp; aannames'!$C$32:$I$47,MATCH(AP53,'Parameters &amp; aannames'!$C$32:$I$32,0),FALSE)*aandeel_piek2</f>
        <v>0</v>
      </c>
      <c r="AQ62" s="138">
        <f>VLOOKUP($AI$11,'Parameters &amp; aannames'!$C$32:$I$47,MATCH(AQ53,'Parameters &amp; aannames'!$C$32:$I$32,0),FALSE)*aandeel_piek2</f>
        <v>0</v>
      </c>
      <c r="AR62" s="139">
        <f>VLOOKUP($AI$11,'Parameters &amp; aannames'!$C$32:$I$47,MATCH(AR53,'Parameters &amp; aannames'!$C$32:$I$32,0),FALSE)*aandeel_piek2</f>
        <v>0</v>
      </c>
    </row>
    <row r="63" spans="34:56" x14ac:dyDescent="0.25">
      <c r="AH63" s="31" t="s">
        <v>23</v>
      </c>
      <c r="AI63" s="56"/>
      <c r="AJ63" s="56"/>
      <c r="AK63" s="56"/>
      <c r="AL63" s="56"/>
      <c r="AM63" s="56"/>
      <c r="AN63" s="56" t="s">
        <v>15</v>
      </c>
      <c r="AO63" s="138">
        <f>aandeel_verlies*AO64</f>
        <v>5.5243083333333338</v>
      </c>
      <c r="AP63" s="138">
        <f>aandeel_verlies*AP64</f>
        <v>5.2317083333333336</v>
      </c>
      <c r="AQ63" s="138">
        <f>aandeel_verlies*AQ64</f>
        <v>4.8415749999999997</v>
      </c>
      <c r="AR63" s="139">
        <f>aandeel_verlies*AR64</f>
        <v>4.5489750000000004</v>
      </c>
      <c r="BD63" s="12"/>
    </row>
    <row r="64" spans="34:56" ht="15.75" thickBot="1" x14ac:dyDescent="0.3">
      <c r="AH64" s="43" t="s">
        <v>24</v>
      </c>
      <c r="AI64" s="39"/>
      <c r="AJ64" s="39"/>
      <c r="AK64" s="39"/>
      <c r="AL64" s="39"/>
      <c r="AM64" s="39"/>
      <c r="AN64" s="32" t="s">
        <v>15</v>
      </c>
      <c r="AO64" s="141">
        <f>(AO55+AO56+AO58+AO59+AO60+AO57+AO61+AO62)/(1-aandeel_verlies)</f>
        <v>27.621541666666669</v>
      </c>
      <c r="AP64" s="141">
        <f>(AP55+AP56+AP58+AP59+AP60+AP57+AP61+AP62)/(1-aandeel_verlies)</f>
        <v>26.158541666666668</v>
      </c>
      <c r="AQ64" s="141">
        <f>(AQ55+AQ56+AQ58+AQ59+AQ60+AQ57+AQ61+AQ62)/(1-aandeel_verlies)</f>
        <v>24.207874999999998</v>
      </c>
      <c r="AR64" s="142">
        <f>(AR55+AR56+AR58+AR59+AR60+AR57+AR61+AR62)/(1-aandeel_verlies)</f>
        <v>22.744875</v>
      </c>
      <c r="AS64" s="5"/>
      <c r="BD64" s="12"/>
    </row>
    <row r="67" spans="14:56" x14ac:dyDescent="0.25">
      <c r="AB67" s="5"/>
      <c r="AC67" s="5"/>
      <c r="AD67" s="5"/>
      <c r="AH67" s="4" t="s">
        <v>113</v>
      </c>
      <c r="AI67" s="4"/>
      <c r="AO67" s="12"/>
      <c r="AP67" s="12">
        <f>'Parameters &amp; aannames'!G50</f>
        <v>18.899999999999999</v>
      </c>
      <c r="AQ67" s="12">
        <f>'Parameters &amp; aannames'!H50</f>
        <v>18.899999999999999</v>
      </c>
      <c r="AR67" s="12">
        <f>'Parameters &amp; aannames'!I50</f>
        <v>18.899999999999999</v>
      </c>
      <c r="BD67" s="33"/>
    </row>
    <row r="68" spans="14:56" x14ac:dyDescent="0.25">
      <c r="AH68" s="4" t="s">
        <v>165</v>
      </c>
      <c r="AI68" s="4"/>
      <c r="AO68" s="12">
        <f>'Parameters &amp; aannames'!F49</f>
        <v>40</v>
      </c>
      <c r="AP68" s="12">
        <f>'Parameters &amp; aannames'!G49</f>
        <v>34.5</v>
      </c>
      <c r="AQ68" s="12">
        <f>'Parameters &amp; aannames'!H49</f>
        <v>25</v>
      </c>
      <c r="AR68" s="12">
        <f>'Parameters &amp; aannames'!I49</f>
        <v>0</v>
      </c>
      <c r="BD68" s="33"/>
    </row>
    <row r="69" spans="14:56" x14ac:dyDescent="0.25">
      <c r="AH69" s="34" t="s">
        <v>20</v>
      </c>
      <c r="AI69" s="4"/>
      <c r="AO69" s="33">
        <f t="shared" ref="AO69:AO70" si="2">AO55/AO$64</f>
        <v>0.10088744141423436</v>
      </c>
      <c r="AP69" s="33">
        <f t="shared" ref="AP69:AR70" si="3">AP55/AP$64</f>
        <v>7.4570925685523384E-2</v>
      </c>
      <c r="AQ69" s="33">
        <f t="shared" si="3"/>
        <v>3.4534216654704311E-2</v>
      </c>
      <c r="AR69" s="33">
        <f t="shared" si="3"/>
        <v>0</v>
      </c>
      <c r="BD69" s="33"/>
    </row>
    <row r="70" spans="14:56" x14ac:dyDescent="0.25">
      <c r="AH70" s="34" t="s">
        <v>21</v>
      </c>
      <c r="AI70" s="4"/>
      <c r="AO70" s="33">
        <f t="shared" si="2"/>
        <v>0.24467859475620626</v>
      </c>
      <c r="AP70" s="33">
        <f t="shared" si="3"/>
        <v>0.25836302673600875</v>
      </c>
      <c r="AQ70" s="33">
        <f t="shared" si="3"/>
        <v>0.27918187779803061</v>
      </c>
      <c r="AR70" s="33">
        <f t="shared" si="3"/>
        <v>0.29713946548398262</v>
      </c>
      <c r="BD70" s="33"/>
    </row>
    <row r="71" spans="14:56" x14ac:dyDescent="0.25">
      <c r="AH71" s="34" t="str">
        <f>"Emissie "&amp;Y11</f>
        <v>Emissie Biomassa, uit NL 2020</v>
      </c>
      <c r="AI71" s="4"/>
      <c r="AO71" s="33">
        <f t="shared" ref="AO71:AO73" si="4">AO58/AO$64</f>
        <v>0</v>
      </c>
      <c r="AP71" s="33">
        <f t="shared" ref="AP71:AR73" si="5">AP58/AP$64</f>
        <v>0</v>
      </c>
      <c r="AQ71" s="33">
        <f t="shared" si="5"/>
        <v>0</v>
      </c>
      <c r="AR71" s="33">
        <f t="shared" si="5"/>
        <v>0</v>
      </c>
      <c r="BD71" s="33"/>
    </row>
    <row r="72" spans="14:56" x14ac:dyDescent="0.25">
      <c r="AH72" s="34" t="str">
        <f>"Emissie "&amp;AA11</f>
        <v xml:space="preserve">Emissie AVI  </v>
      </c>
      <c r="AI72" s="35"/>
      <c r="AO72" s="33">
        <f t="shared" si="4"/>
        <v>0</v>
      </c>
      <c r="AP72" s="33">
        <f t="shared" si="5"/>
        <v>0</v>
      </c>
      <c r="AQ72" s="33">
        <f t="shared" si="5"/>
        <v>0</v>
      </c>
      <c r="AR72" s="33">
        <f t="shared" si="5"/>
        <v>0</v>
      </c>
      <c r="BD72" s="33"/>
    </row>
    <row r="73" spans="14:56" x14ac:dyDescent="0.25">
      <c r="AH73" s="34" t="str">
        <f>"Emissie "&amp;AC11</f>
        <v xml:space="preserve">Emissie - bron - </v>
      </c>
      <c r="AI73" s="36"/>
      <c r="AO73" s="33">
        <f t="shared" si="4"/>
        <v>0</v>
      </c>
      <c r="AP73" s="33">
        <f t="shared" si="5"/>
        <v>0</v>
      </c>
      <c r="AQ73" s="33">
        <f t="shared" si="5"/>
        <v>0</v>
      </c>
      <c r="AR73" s="33">
        <f t="shared" si="5"/>
        <v>0</v>
      </c>
    </row>
    <row r="74" spans="14:56" x14ac:dyDescent="0.25">
      <c r="AH74" s="34" t="s">
        <v>22</v>
      </c>
      <c r="AO74" s="33">
        <f>AO57/AO$64</f>
        <v>4.0354976565693743E-2</v>
      </c>
      <c r="AP74" s="33">
        <f>AP57/AP$64</f>
        <v>2.9828370274209343E-2</v>
      </c>
      <c r="AQ74" s="33">
        <f>AQ57/AQ$64</f>
        <v>1.3813686661881723E-2</v>
      </c>
      <c r="AR74" s="33">
        <f>AR57/AR$64</f>
        <v>0</v>
      </c>
    </row>
    <row r="75" spans="14:56" x14ac:dyDescent="0.25">
      <c r="AH75" s="34" t="str">
        <f>"Emissie bijstook "&amp;AG11</f>
        <v>Emissie bijstook Aardgasketel (NL)</v>
      </c>
      <c r="AO75" s="33">
        <f t="shared" ref="AO75:AO77" si="6">AO61/AO$64</f>
        <v>0.41407898726386555</v>
      </c>
      <c r="AP75" s="33">
        <f t="shared" ref="AP75:AR77" si="7">AP61/AP$64</f>
        <v>0.43723767730425844</v>
      </c>
      <c r="AQ75" s="33">
        <f t="shared" si="7"/>
        <v>0.47247021888538343</v>
      </c>
      <c r="AR75" s="33">
        <f t="shared" si="7"/>
        <v>0.50286053451601731</v>
      </c>
    </row>
    <row r="76" spans="14:56" x14ac:dyDescent="0.25">
      <c r="AH76" s="34" t="str">
        <f>"Emissie bijstook "&amp;AI11</f>
        <v xml:space="preserve">Emissie bijstook - bron - </v>
      </c>
      <c r="AO76" s="33">
        <f t="shared" si="6"/>
        <v>0</v>
      </c>
      <c r="AP76" s="33">
        <f t="shared" si="7"/>
        <v>0</v>
      </c>
      <c r="AQ76" s="33">
        <f t="shared" si="7"/>
        <v>0</v>
      </c>
      <c r="AR76" s="33">
        <f t="shared" si="7"/>
        <v>0</v>
      </c>
    </row>
    <row r="77" spans="14:56" x14ac:dyDescent="0.25">
      <c r="AH77" s="34" t="s">
        <v>23</v>
      </c>
      <c r="AO77" s="33">
        <f t="shared" si="6"/>
        <v>0.2</v>
      </c>
      <c r="AP77" s="33">
        <f t="shared" si="7"/>
        <v>0.2</v>
      </c>
      <c r="AQ77" s="33">
        <f t="shared" si="7"/>
        <v>0.2</v>
      </c>
      <c r="AR77" s="33">
        <f t="shared" si="7"/>
        <v>0.2</v>
      </c>
    </row>
    <row r="78" spans="14:56" x14ac:dyDescent="0.25">
      <c r="N78" s="12"/>
      <c r="O78" s="12"/>
      <c r="P78" s="12"/>
      <c r="Q78" s="12"/>
      <c r="R78" s="12"/>
      <c r="S78" s="12"/>
      <c r="T78" s="12"/>
      <c r="U78" s="12"/>
      <c r="V78" s="12"/>
      <c r="W78" s="12"/>
      <c r="X78" s="12"/>
      <c r="Y78" s="12"/>
      <c r="Z78" s="12"/>
    </row>
    <row r="79" spans="14:56" x14ac:dyDescent="0.25">
      <c r="AO79" s="116">
        <f>SUM(AO69:AO77)</f>
        <v>1</v>
      </c>
      <c r="AP79" s="116">
        <f>SUM(AP69:AP77)</f>
        <v>1</v>
      </c>
      <c r="AQ79" s="116">
        <f>SUM(AQ69:AQ77)</f>
        <v>1</v>
      </c>
      <c r="AR79" s="116">
        <f>SUM(AR69:AR77)</f>
        <v>1</v>
      </c>
    </row>
  </sheetData>
  <sheetProtection algorithmName="SHA-512" hashValue="GWrdF00qrc1cNckD63IrE364q98tVLWfTSQZ4/TkMTqoviAk4EzgCaCRPYsydhZdU4iQgb+aT9PeLl9CLnz6DA==" saltValue="q9q9YSla+uMALVLYpI4fMw==" spinCount="100000" sheet="1" objects="1" scenarios="1" selectLockedCells="1"/>
  <dataConsolidate/>
  <dataValidations count="4">
    <dataValidation type="decimal" errorStyle="warning" allowBlank="1" showInputMessage="1" showErrorMessage="1" error="Aandeel netverlies moet tussen 0 en 100% liggen" sqref="H7" xr:uid="{5EA6A150-C74B-49F7-A026-01A4EAC56BB1}">
      <formula1>0</formula1>
      <formula2>1</formula2>
    </dataValidation>
    <dataValidation type="decimal" errorStyle="warning" allowBlank="1" showInputMessage="1" showErrorMessage="1" error="Aandeel pieklast moet tussen 0 en 100% liggen" sqref="AG8 AI8" xr:uid="{6E746087-5839-4D99-896B-E6CDFBDA8286}">
      <formula1>0</formula1>
      <formula2>1</formula2>
    </dataValidation>
    <dataValidation type="decimal" errorStyle="warning" allowBlank="1" showInputMessage="1" showErrorMessage="1" error="Aandeel bron moet tussen 0 en 100% liggen" sqref="Y8 AA8 AC8:AE8 N8:Q8" xr:uid="{FA605265-17F5-4E18-9D8D-47155D457958}">
      <formula1>0</formula1>
      <formula2>1</formula2>
    </dataValidation>
    <dataValidation type="decimal" errorStyle="warning" allowBlank="1" showInputMessage="1" showErrorMessage="1" error="Aandeel warmtepomp moet tussen 0 en 100% liggen" sqref="V9" xr:uid="{324ECAC3-477C-4B8B-BBDB-1435CDE2B056}">
      <formula1>0</formula1>
      <formula2>1</formula2>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F8F873D4-34E7-483F-BF9D-BA56C5E791BD}">
          <x14:formula1>
            <xm:f>'Parameters &amp; aannames'!$C$26:$C$28</xm:f>
          </x14:formula1>
          <xm:sqref>Q11</xm:sqref>
        </x14:dataValidation>
        <x14:dataValidation type="list" allowBlank="1" showInputMessage="1" showErrorMessage="1" xr:uid="{0121BBD8-44F0-45CD-ABCF-DAADA2E48A95}">
          <x14:formula1>
            <xm:f>'Parameters &amp; aannames'!$K$54:$K$55</xm:f>
          </x14:formula1>
          <xm:sqref>N11</xm:sqref>
        </x14:dataValidation>
        <x14:dataValidation type="list" allowBlank="1" showInputMessage="1" showErrorMessage="1" xr:uid="{A5DAA8D1-6BBB-4C2F-B3D3-62171DCD386E}">
          <x14:formula1>
            <xm:f>'Parameters &amp; aannames'!$C$33:$C$47</xm:f>
          </x14:formula1>
          <xm:sqref>AI11 AG11 AC11 AA11 Y11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D8E10-25F4-4160-BB4A-3D237B8F1095}">
  <sheetPr codeName="Sheet3"/>
  <dimension ref="A2:M145"/>
  <sheetViews>
    <sheetView zoomScaleNormal="100" workbookViewId="0">
      <selection activeCell="C2" sqref="C2"/>
    </sheetView>
  </sheetViews>
  <sheetFormatPr defaultRowHeight="15" x14ac:dyDescent="0.25"/>
  <cols>
    <col min="1" max="1" width="9.140625" style="1"/>
    <col min="2" max="2" width="4" style="1" customWidth="1"/>
    <col min="3" max="3" width="53.42578125" style="1" customWidth="1"/>
    <col min="4" max="4" width="25.28515625" style="1" bestFit="1" customWidth="1"/>
    <col min="5" max="5" width="16.28515625" style="1" customWidth="1"/>
    <col min="6" max="6" width="13.42578125" style="1" bestFit="1" customWidth="1"/>
    <col min="7" max="7" width="20.42578125" style="1" customWidth="1"/>
    <col min="8" max="8" width="16.28515625" style="1" customWidth="1"/>
    <col min="9" max="9" width="15.85546875" style="1" customWidth="1"/>
    <col min="10" max="10" width="11" style="1" customWidth="1"/>
    <col min="11" max="11" width="41.42578125" style="1" bestFit="1" customWidth="1"/>
    <col min="12" max="12" width="9.140625" style="1"/>
    <col min="13" max="13" width="13" style="1" bestFit="1" customWidth="1"/>
    <col min="14" max="16384" width="9.140625" style="1"/>
  </cols>
  <sheetData>
    <row r="2" spans="1:13" ht="26.25" x14ac:dyDescent="0.4">
      <c r="A2"/>
      <c r="C2" s="45" t="s">
        <v>27</v>
      </c>
    </row>
    <row r="4" spans="1:13" ht="19.5" thickBot="1" x14ac:dyDescent="0.35">
      <c r="C4" s="46" t="s">
        <v>28</v>
      </c>
      <c r="D4" s="14"/>
      <c r="E4" s="15"/>
      <c r="F4" s="15"/>
      <c r="G4" s="15"/>
      <c r="H4" s="15"/>
      <c r="I4" s="15"/>
      <c r="K4" s="3" t="s">
        <v>29</v>
      </c>
      <c r="L4" s="3" t="s">
        <v>30</v>
      </c>
    </row>
    <row r="5" spans="1:13" ht="15.75" thickTop="1" x14ac:dyDescent="0.25">
      <c r="C5" s="6" t="s">
        <v>91</v>
      </c>
      <c r="D5" s="6"/>
      <c r="K5" s="3"/>
      <c r="L5" s="3"/>
    </row>
    <row r="6" spans="1:13" ht="17.25" x14ac:dyDescent="0.25">
      <c r="C6" s="1" t="s">
        <v>31</v>
      </c>
      <c r="E6" s="1">
        <v>31.65</v>
      </c>
      <c r="F6" s="4" t="s">
        <v>163</v>
      </c>
      <c r="G6" s="101">
        <f>E6/1000</f>
        <v>3.1649999999999998E-2</v>
      </c>
      <c r="H6" s="1" t="s">
        <v>155</v>
      </c>
      <c r="K6" s="1" t="s">
        <v>33</v>
      </c>
      <c r="L6" s="2" t="s">
        <v>74</v>
      </c>
    </row>
    <row r="7" spans="1:13" ht="17.25" x14ac:dyDescent="0.25">
      <c r="C7" s="1" t="s">
        <v>34</v>
      </c>
      <c r="E7" s="7">
        <f>E6*E10</f>
        <v>35.131500000000003</v>
      </c>
      <c r="F7" s="4" t="s">
        <v>163</v>
      </c>
      <c r="G7" s="101">
        <f>E7/1000</f>
        <v>3.5131500000000003E-2</v>
      </c>
      <c r="H7" s="1" t="s">
        <v>155</v>
      </c>
      <c r="K7" s="1" t="s">
        <v>33</v>
      </c>
      <c r="L7" s="2" t="s">
        <v>75</v>
      </c>
    </row>
    <row r="8" spans="1:13" x14ac:dyDescent="0.25">
      <c r="E8" s="7"/>
      <c r="F8" s="4"/>
      <c r="G8" s="13"/>
    </row>
    <row r="9" spans="1:13" x14ac:dyDescent="0.25">
      <c r="E9" s="7"/>
      <c r="F9" s="4"/>
      <c r="G9" s="13"/>
    </row>
    <row r="10" spans="1:13" x14ac:dyDescent="0.25">
      <c r="C10" s="1" t="s">
        <v>35</v>
      </c>
      <c r="E10" s="1">
        <v>1.1100000000000001</v>
      </c>
      <c r="F10" s="4"/>
      <c r="K10" s="1" t="s">
        <v>36</v>
      </c>
      <c r="L10" s="2" t="s">
        <v>77</v>
      </c>
    </row>
    <row r="11" spans="1:13" x14ac:dyDescent="0.25">
      <c r="F11" s="4"/>
      <c r="I11" s="2"/>
    </row>
    <row r="12" spans="1:13" x14ac:dyDescent="0.25">
      <c r="E12" s="1">
        <v>1</v>
      </c>
      <c r="F12" s="4" t="s">
        <v>37</v>
      </c>
      <c r="G12" s="5">
        <v>277.77777777777777</v>
      </c>
      <c r="H12" s="1" t="s">
        <v>15</v>
      </c>
    </row>
    <row r="13" spans="1:13" x14ac:dyDescent="0.25">
      <c r="C13" s="1" t="s">
        <v>86</v>
      </c>
      <c r="E13" s="1">
        <v>4180</v>
      </c>
      <c r="F13" s="4" t="s">
        <v>87</v>
      </c>
      <c r="K13" s="109"/>
      <c r="L13" s="114"/>
      <c r="M13" s="110"/>
    </row>
    <row r="14" spans="1:13" ht="17.25" x14ac:dyDescent="0.25">
      <c r="C14" s="1" t="s">
        <v>88</v>
      </c>
      <c r="E14" s="1">
        <v>1000</v>
      </c>
      <c r="F14" s="4" t="s">
        <v>162</v>
      </c>
    </row>
    <row r="16" spans="1:13" ht="19.5" thickBot="1" x14ac:dyDescent="0.35">
      <c r="C16" s="46" t="s">
        <v>65</v>
      </c>
      <c r="D16" s="15"/>
      <c r="E16" s="15"/>
      <c r="F16" s="17"/>
      <c r="G16" s="18"/>
      <c r="H16" s="15"/>
      <c r="I16" s="15"/>
    </row>
    <row r="17" spans="3:12" ht="15.75" thickTop="1" x14ac:dyDescent="0.25">
      <c r="C17" s="6"/>
      <c r="F17" s="4"/>
      <c r="G17" s="2"/>
    </row>
    <row r="18" spans="3:12" x14ac:dyDescent="0.25">
      <c r="E18" s="23">
        <v>2015</v>
      </c>
      <c r="F18" s="24">
        <v>2020</v>
      </c>
      <c r="G18" s="24">
        <v>2025</v>
      </c>
      <c r="H18" s="23">
        <v>2030</v>
      </c>
      <c r="I18" s="25" t="s">
        <v>10</v>
      </c>
    </row>
    <row r="19" spans="3:12" ht="18" x14ac:dyDescent="0.35">
      <c r="C19" s="1" t="s">
        <v>38</v>
      </c>
      <c r="D19" s="4" t="s">
        <v>161</v>
      </c>
      <c r="E19" s="127">
        <f>0.53/0.0036</f>
        <v>147.22222222222223</v>
      </c>
      <c r="F19" s="146">
        <f>0.3/0.0036</f>
        <v>83.333333333333329</v>
      </c>
      <c r="G19" s="146">
        <f>0.21/0.0036</f>
        <v>58.333333333333336</v>
      </c>
      <c r="H19" s="22">
        <f>0.09/0.0036</f>
        <v>25</v>
      </c>
      <c r="I19" s="26">
        <v>0</v>
      </c>
      <c r="K19" s="1" t="s">
        <v>118</v>
      </c>
      <c r="L19" s="2" t="s">
        <v>117</v>
      </c>
    </row>
    <row r="20" spans="3:12" ht="18" x14ac:dyDescent="0.35">
      <c r="C20" s="1" t="s">
        <v>41</v>
      </c>
      <c r="D20" s="4" t="s">
        <v>159</v>
      </c>
      <c r="E20" s="22">
        <v>50.8</v>
      </c>
      <c r="F20" s="19"/>
      <c r="G20" s="19"/>
      <c r="H20" s="22"/>
      <c r="I20" s="26"/>
      <c r="K20" s="1" t="s">
        <v>33</v>
      </c>
      <c r="L20" s="2" t="s">
        <v>184</v>
      </c>
    </row>
    <row r="21" spans="3:12" x14ac:dyDescent="0.25">
      <c r="C21" s="1" t="s">
        <v>42</v>
      </c>
      <c r="D21" s="4" t="s">
        <v>43</v>
      </c>
      <c r="E21" s="26">
        <v>0.8</v>
      </c>
      <c r="F21" s="19"/>
      <c r="G21" s="19"/>
      <c r="H21" s="22"/>
      <c r="I21" s="26"/>
      <c r="K21" s="9" t="s">
        <v>44</v>
      </c>
      <c r="L21" s="10" t="s">
        <v>45</v>
      </c>
    </row>
    <row r="22" spans="3:12" x14ac:dyDescent="0.25">
      <c r="C22" s="1" t="s">
        <v>139</v>
      </c>
      <c r="D22" s="4"/>
      <c r="E22" s="88"/>
      <c r="F22" s="88"/>
      <c r="G22" s="88"/>
      <c r="H22" s="88"/>
      <c r="I22" s="88"/>
      <c r="K22" s="9"/>
      <c r="L22" s="10"/>
    </row>
    <row r="23" spans="3:12" x14ac:dyDescent="0.25">
      <c r="D23" s="4"/>
      <c r="E23" s="88"/>
      <c r="F23" s="88"/>
      <c r="G23" s="88"/>
      <c r="H23" s="88"/>
      <c r="I23" s="88"/>
      <c r="K23" s="9"/>
      <c r="L23" s="10"/>
    </row>
    <row r="24" spans="3:12" x14ac:dyDescent="0.25">
      <c r="C24" s="1" t="s">
        <v>103</v>
      </c>
      <c r="D24" s="4"/>
      <c r="E24" s="118" t="s">
        <v>105</v>
      </c>
      <c r="F24" s="118" t="s">
        <v>106</v>
      </c>
      <c r="G24" s="118" t="s">
        <v>91</v>
      </c>
      <c r="H24" s="88" t="s">
        <v>112</v>
      </c>
      <c r="I24" s="88"/>
      <c r="K24" s="9"/>
      <c r="L24" s="10"/>
    </row>
    <row r="25" spans="3:12" x14ac:dyDescent="0.25">
      <c r="D25" s="4"/>
      <c r="E25" s="123" t="s">
        <v>107</v>
      </c>
      <c r="F25" s="54" t="s">
        <v>40</v>
      </c>
      <c r="G25" s="118" t="s">
        <v>32</v>
      </c>
      <c r="H25" s="122" t="s">
        <v>107</v>
      </c>
      <c r="I25" s="88"/>
      <c r="K25" s="9"/>
      <c r="L25" s="10"/>
    </row>
    <row r="26" spans="3:12" x14ac:dyDescent="0.25">
      <c r="C26" s="36" t="s">
        <v>67</v>
      </c>
      <c r="D26" s="4"/>
      <c r="E26" s="8">
        <v>0.3</v>
      </c>
      <c r="F26" s="206">
        <v>73</v>
      </c>
      <c r="G26" s="9">
        <v>2.7E-2</v>
      </c>
      <c r="H26" s="56">
        <v>16</v>
      </c>
      <c r="I26" s="56"/>
      <c r="K26" s="9" t="s">
        <v>186</v>
      </c>
      <c r="L26" s="2" t="s">
        <v>76</v>
      </c>
    </row>
    <row r="27" spans="3:12" x14ac:dyDescent="0.25">
      <c r="C27" s="36" t="s">
        <v>66</v>
      </c>
      <c r="D27" s="4"/>
      <c r="E27" s="8">
        <v>1</v>
      </c>
      <c r="F27" s="206">
        <v>64</v>
      </c>
      <c r="G27" s="9">
        <v>3.3000000000000002E-2</v>
      </c>
      <c r="H27" s="56">
        <v>24</v>
      </c>
      <c r="I27" s="56"/>
      <c r="K27" s="9" t="s">
        <v>186</v>
      </c>
      <c r="L27" s="2" t="s">
        <v>76</v>
      </c>
    </row>
    <row r="28" spans="3:12" x14ac:dyDescent="0.25">
      <c r="C28" s="36" t="s">
        <v>71</v>
      </c>
      <c r="D28" s="4"/>
      <c r="E28" s="121" t="s">
        <v>104</v>
      </c>
      <c r="F28" s="121" t="s">
        <v>104</v>
      </c>
      <c r="G28" s="121" t="s">
        <v>104</v>
      </c>
      <c r="H28" s="121" t="s">
        <v>104</v>
      </c>
      <c r="I28" s="56"/>
      <c r="L28" s="2" t="s">
        <v>73</v>
      </c>
    </row>
    <row r="29" spans="3:12" x14ac:dyDescent="0.25">
      <c r="E29" s="11"/>
      <c r="G29" s="2"/>
    </row>
    <row r="30" spans="3:12" ht="19.5" thickBot="1" x14ac:dyDescent="0.35">
      <c r="C30" s="46" t="s">
        <v>80</v>
      </c>
      <c r="D30" s="15"/>
      <c r="E30" s="16"/>
      <c r="F30" s="17"/>
      <c r="G30" s="18"/>
      <c r="H30" s="15"/>
      <c r="I30" s="15"/>
    </row>
    <row r="31" spans="3:12" ht="15.75" thickTop="1" x14ac:dyDescent="0.25">
      <c r="C31" s="6"/>
      <c r="E31" s="8"/>
      <c r="F31" s="4"/>
      <c r="G31" s="2"/>
    </row>
    <row r="32" spans="3:12" x14ac:dyDescent="0.25">
      <c r="D32" s="56"/>
      <c r="E32" s="23">
        <v>2015</v>
      </c>
      <c r="F32" s="105">
        <v>2020</v>
      </c>
      <c r="G32" s="105">
        <v>2025</v>
      </c>
      <c r="H32" s="105">
        <v>2030</v>
      </c>
      <c r="I32" s="105" t="s">
        <v>10</v>
      </c>
      <c r="K32" s="1" t="s">
        <v>47</v>
      </c>
    </row>
    <row r="33" spans="3:13" x14ac:dyDescent="0.25">
      <c r="C33" s="113" t="s">
        <v>90</v>
      </c>
      <c r="D33" s="56"/>
      <c r="E33" s="103"/>
      <c r="F33" s="112"/>
      <c r="G33" s="112"/>
      <c r="H33" s="112"/>
      <c r="I33" s="112"/>
    </row>
    <row r="34" spans="3:13" ht="18" x14ac:dyDescent="0.35">
      <c r="C34" s="1" t="s">
        <v>48</v>
      </c>
      <c r="D34" s="88" t="s">
        <v>160</v>
      </c>
      <c r="E34" s="74"/>
      <c r="F34" s="104">
        <f>M69/0.8</f>
        <v>63.541666666666664</v>
      </c>
      <c r="G34" s="92">
        <f>F34</f>
        <v>63.541666666666664</v>
      </c>
      <c r="H34" s="104">
        <f>F34</f>
        <v>63.541666666666664</v>
      </c>
      <c r="I34" s="92">
        <f>H34</f>
        <v>63.541666666666664</v>
      </c>
      <c r="K34" s="9" t="s">
        <v>186</v>
      </c>
      <c r="L34" s="2"/>
      <c r="M34" s="2"/>
    </row>
    <row r="35" spans="3:13" ht="18" x14ac:dyDescent="0.35">
      <c r="C35" s="1" t="s">
        <v>140</v>
      </c>
      <c r="D35" s="88" t="s">
        <v>160</v>
      </c>
      <c r="E35" s="88"/>
      <c r="F35" s="89">
        <v>29.2</v>
      </c>
      <c r="G35" s="87">
        <v>20.399999999999999</v>
      </c>
      <c r="H35" s="87">
        <v>8.8000000000000007</v>
      </c>
      <c r="I35" s="87">
        <v>0</v>
      </c>
      <c r="K35" s="9" t="s">
        <v>186</v>
      </c>
      <c r="L35" s="2"/>
      <c r="M35" s="2"/>
    </row>
    <row r="36" spans="3:13" ht="18" x14ac:dyDescent="0.35">
      <c r="C36" s="1" t="s">
        <v>145</v>
      </c>
      <c r="D36" s="88" t="s">
        <v>160</v>
      </c>
      <c r="E36" s="88"/>
      <c r="F36" s="89">
        <v>9.9</v>
      </c>
      <c r="G36" s="87">
        <v>6.9</v>
      </c>
      <c r="H36" s="87">
        <v>4.2</v>
      </c>
      <c r="I36" s="87">
        <v>2</v>
      </c>
      <c r="K36" s="9" t="s">
        <v>186</v>
      </c>
      <c r="L36" s="2"/>
      <c r="M36" s="2"/>
    </row>
    <row r="37" spans="3:13" ht="18" x14ac:dyDescent="0.35">
      <c r="C37" s="1" t="s">
        <v>49</v>
      </c>
      <c r="D37" s="88" t="s">
        <v>160</v>
      </c>
      <c r="E37" s="88"/>
      <c r="F37" s="104">
        <v>0</v>
      </c>
      <c r="G37" s="87">
        <v>0</v>
      </c>
      <c r="H37" s="87">
        <v>0</v>
      </c>
      <c r="I37" s="87">
        <v>0</v>
      </c>
      <c r="K37" s="9" t="s">
        <v>186</v>
      </c>
      <c r="L37" s="10"/>
      <c r="M37" s="2"/>
    </row>
    <row r="38" spans="3:13" ht="18" x14ac:dyDescent="0.35">
      <c r="C38" s="1" t="s">
        <v>82</v>
      </c>
      <c r="D38" s="88" t="s">
        <v>160</v>
      </c>
      <c r="E38" s="56"/>
      <c r="F38" s="104">
        <f>H103/I103</f>
        <v>4.4444444444444438</v>
      </c>
      <c r="G38" s="108">
        <f>F38</f>
        <v>4.4444444444444438</v>
      </c>
      <c r="H38" s="108">
        <f>G38</f>
        <v>4.4444444444444438</v>
      </c>
      <c r="I38" s="108">
        <f>H38</f>
        <v>4.4444444444444438</v>
      </c>
      <c r="K38" s="1" t="s">
        <v>50</v>
      </c>
      <c r="L38" s="10" t="s">
        <v>85</v>
      </c>
      <c r="M38" s="2"/>
    </row>
    <row r="39" spans="3:13" ht="18" x14ac:dyDescent="0.35">
      <c r="C39" s="1" t="s">
        <v>83</v>
      </c>
      <c r="D39" s="88" t="s">
        <v>160</v>
      </c>
      <c r="E39" s="56"/>
      <c r="F39" s="104">
        <f>H104/I104</f>
        <v>15.346534653465346</v>
      </c>
      <c r="G39" s="108">
        <f t="shared" ref="G39:I40" si="0">F39</f>
        <v>15.346534653465346</v>
      </c>
      <c r="H39" s="108">
        <f t="shared" si="0"/>
        <v>15.346534653465346</v>
      </c>
      <c r="I39" s="108">
        <f t="shared" si="0"/>
        <v>15.346534653465346</v>
      </c>
      <c r="K39" s="1" t="s">
        <v>50</v>
      </c>
      <c r="L39" s="10" t="s">
        <v>85</v>
      </c>
      <c r="M39" s="2"/>
    </row>
    <row r="40" spans="3:13" ht="18" x14ac:dyDescent="0.35">
      <c r="C40" s="1" t="s">
        <v>84</v>
      </c>
      <c r="D40" s="88" t="s">
        <v>160</v>
      </c>
      <c r="E40" s="56"/>
      <c r="F40" s="104">
        <f>H105/I105</f>
        <v>11.386138613861386</v>
      </c>
      <c r="G40" s="108">
        <f t="shared" si="0"/>
        <v>11.386138613861386</v>
      </c>
      <c r="H40" s="108">
        <f t="shared" si="0"/>
        <v>11.386138613861386</v>
      </c>
      <c r="I40" s="108">
        <f t="shared" si="0"/>
        <v>11.386138613861386</v>
      </c>
      <c r="K40" s="1" t="s">
        <v>50</v>
      </c>
      <c r="L40" s="10" t="s">
        <v>85</v>
      </c>
      <c r="M40" s="2"/>
    </row>
    <row r="41" spans="3:13" ht="18" x14ac:dyDescent="0.35">
      <c r="C41" s="1" t="s">
        <v>142</v>
      </c>
      <c r="D41" s="88" t="s">
        <v>160</v>
      </c>
      <c r="E41" s="88"/>
      <c r="F41" s="89">
        <v>8.3000000000000007</v>
      </c>
      <c r="G41" s="87">
        <v>5.8</v>
      </c>
      <c r="H41" s="87">
        <v>2.5</v>
      </c>
      <c r="I41" s="87">
        <v>0</v>
      </c>
      <c r="K41" s="9" t="s">
        <v>186</v>
      </c>
      <c r="L41" s="2"/>
      <c r="M41" s="2"/>
    </row>
    <row r="42" spans="3:13" ht="18" x14ac:dyDescent="0.35">
      <c r="C42" s="1" t="s">
        <v>81</v>
      </c>
      <c r="D42" s="88" t="s">
        <v>160</v>
      </c>
      <c r="E42" s="88"/>
      <c r="F42" s="104">
        <f>H106/I106</f>
        <v>71.573033707865164</v>
      </c>
      <c r="G42" s="108">
        <f>F42</f>
        <v>71.573033707865164</v>
      </c>
      <c r="H42" s="108">
        <f t="shared" ref="H42:I42" si="1">G42</f>
        <v>71.573033707865164</v>
      </c>
      <c r="I42" s="108">
        <f t="shared" si="1"/>
        <v>71.573033707865164</v>
      </c>
      <c r="K42" s="1" t="s">
        <v>50</v>
      </c>
      <c r="L42" s="10" t="s">
        <v>85</v>
      </c>
      <c r="M42" s="2"/>
    </row>
    <row r="43" spans="3:13" ht="18" x14ac:dyDescent="0.35">
      <c r="C43" s="1" t="s">
        <v>143</v>
      </c>
      <c r="D43" s="88" t="s">
        <v>160</v>
      </c>
      <c r="E43" s="88"/>
      <c r="F43" s="89">
        <v>50.3</v>
      </c>
      <c r="G43" s="87">
        <v>68.7</v>
      </c>
      <c r="H43" s="87">
        <v>93.2</v>
      </c>
      <c r="I43" s="87">
        <v>111.7</v>
      </c>
      <c r="K43" s="9" t="s">
        <v>186</v>
      </c>
      <c r="L43" s="102" t="s">
        <v>79</v>
      </c>
      <c r="M43" s="2"/>
    </row>
    <row r="44" spans="3:13" ht="18" x14ac:dyDescent="0.35">
      <c r="C44" s="1" t="s">
        <v>144</v>
      </c>
      <c r="D44" s="88" t="s">
        <v>160</v>
      </c>
      <c r="E44" s="88"/>
      <c r="F44" s="89">
        <v>0</v>
      </c>
      <c r="G44" s="87">
        <v>0</v>
      </c>
      <c r="H44" s="87">
        <v>0</v>
      </c>
      <c r="I44" s="87">
        <v>0</v>
      </c>
      <c r="K44" s="9" t="s">
        <v>186</v>
      </c>
      <c r="L44" s="2"/>
      <c r="M44" s="2"/>
    </row>
    <row r="45" spans="3:13" ht="18" x14ac:dyDescent="0.35">
      <c r="C45" s="1" t="s">
        <v>146</v>
      </c>
      <c r="D45" s="88" t="s">
        <v>160</v>
      </c>
      <c r="E45" s="88"/>
      <c r="F45" s="89">
        <v>13</v>
      </c>
      <c r="G45" s="87">
        <v>9</v>
      </c>
      <c r="H45" s="87">
        <v>5.5</v>
      </c>
      <c r="I45" s="87">
        <v>2.6</v>
      </c>
      <c r="K45" s="9" t="s">
        <v>186</v>
      </c>
      <c r="L45" s="2"/>
      <c r="M45" s="2"/>
    </row>
    <row r="46" spans="3:13" ht="18" x14ac:dyDescent="0.35">
      <c r="C46" s="1" t="s">
        <v>141</v>
      </c>
      <c r="D46" s="88" t="s">
        <v>160</v>
      </c>
      <c r="E46" s="88"/>
      <c r="F46" s="89">
        <v>29.6</v>
      </c>
      <c r="G46" s="87">
        <v>20.7</v>
      </c>
      <c r="H46" s="87">
        <v>8.9</v>
      </c>
      <c r="I46" s="87">
        <v>0</v>
      </c>
      <c r="K46" s="9" t="s">
        <v>186</v>
      </c>
      <c r="L46" s="2"/>
      <c r="M46" s="2"/>
    </row>
    <row r="47" spans="3:13" ht="18" x14ac:dyDescent="0.35">
      <c r="C47" s="1" t="s">
        <v>53</v>
      </c>
      <c r="D47" s="88" t="s">
        <v>160</v>
      </c>
      <c r="E47" s="88"/>
      <c r="F47" s="106"/>
      <c r="G47" s="89"/>
      <c r="H47" s="87"/>
      <c r="I47" s="87"/>
      <c r="K47" s="9"/>
      <c r="L47" s="2" t="s">
        <v>73</v>
      </c>
      <c r="M47" s="2"/>
    </row>
    <row r="48" spans="3:13" x14ac:dyDescent="0.25">
      <c r="E48" s="88"/>
      <c r="F48" s="26"/>
      <c r="G48" s="26"/>
      <c r="L48" s="2"/>
      <c r="M48" s="2"/>
    </row>
    <row r="49" spans="3:11" ht="18" x14ac:dyDescent="0.35">
      <c r="C49" s="1" t="s">
        <v>26</v>
      </c>
      <c r="D49" s="1">
        <v>25</v>
      </c>
      <c r="E49" s="150" t="s">
        <v>160</v>
      </c>
      <c r="F49" s="1">
        <v>40</v>
      </c>
      <c r="G49" s="1">
        <v>34.5</v>
      </c>
      <c r="H49" s="56">
        <v>25</v>
      </c>
      <c r="I49" s="1">
        <v>0</v>
      </c>
      <c r="K49" s="126" t="s">
        <v>110</v>
      </c>
    </row>
    <row r="50" spans="3:11" ht="18" x14ac:dyDescent="0.35">
      <c r="C50" s="1" t="s">
        <v>25</v>
      </c>
      <c r="D50" s="1">
        <v>18.899999999999999</v>
      </c>
      <c r="E50" s="150" t="s">
        <v>160</v>
      </c>
      <c r="G50" s="1">
        <v>18.899999999999999</v>
      </c>
      <c r="H50" s="1">
        <v>18.899999999999999</v>
      </c>
      <c r="I50" s="1">
        <v>18.899999999999999</v>
      </c>
      <c r="K50" s="126" t="s">
        <v>111</v>
      </c>
    </row>
    <row r="53" spans="3:11" ht="18.75" x14ac:dyDescent="0.3">
      <c r="C53" s="53"/>
    </row>
    <row r="54" spans="3:11" ht="15.75" thickBot="1" x14ac:dyDescent="0.3">
      <c r="C54" s="14" t="s">
        <v>54</v>
      </c>
      <c r="D54" s="15"/>
      <c r="E54" s="15"/>
      <c r="F54" s="15"/>
      <c r="G54" s="15"/>
      <c r="H54" s="15"/>
      <c r="I54" s="15"/>
      <c r="K54" s="1" t="s">
        <v>114</v>
      </c>
    </row>
    <row r="55" spans="3:11" ht="15.75" thickTop="1" x14ac:dyDescent="0.25">
      <c r="C55" s="205" t="s">
        <v>183</v>
      </c>
      <c r="K55" s="1" t="s">
        <v>115</v>
      </c>
    </row>
    <row r="56" spans="3:11" x14ac:dyDescent="0.25">
      <c r="C56" s="1" t="s">
        <v>55</v>
      </c>
    </row>
    <row r="57" spans="3:11" x14ac:dyDescent="0.25">
      <c r="C57" s="1" t="s">
        <v>56</v>
      </c>
    </row>
    <row r="58" spans="3:11" x14ac:dyDescent="0.25">
      <c r="C58" s="1" t="s">
        <v>57</v>
      </c>
    </row>
    <row r="59" spans="3:11" x14ac:dyDescent="0.25">
      <c r="C59" t="s">
        <v>116</v>
      </c>
    </row>
    <row r="60" spans="3:11" x14ac:dyDescent="0.25">
      <c r="C60" s="1" t="s">
        <v>58</v>
      </c>
    </row>
    <row r="61" spans="3:11" x14ac:dyDescent="0.25">
      <c r="C61" s="1" t="s">
        <v>59</v>
      </c>
    </row>
    <row r="62" spans="3:11" x14ac:dyDescent="0.25">
      <c r="C62" s="1" t="s">
        <v>119</v>
      </c>
    </row>
    <row r="63" spans="3:11" x14ac:dyDescent="0.25">
      <c r="C63" s="1" t="s">
        <v>185</v>
      </c>
    </row>
    <row r="66" spans="3:13" x14ac:dyDescent="0.25">
      <c r="C66" s="3" t="s">
        <v>60</v>
      </c>
    </row>
    <row r="68" spans="3:13" x14ac:dyDescent="0.25">
      <c r="L68" s="54" t="s">
        <v>39</v>
      </c>
      <c r="M68" s="54" t="s">
        <v>15</v>
      </c>
    </row>
    <row r="69" spans="3:13" x14ac:dyDescent="0.25">
      <c r="K69" s="54" t="s">
        <v>61</v>
      </c>
      <c r="L69" s="54">
        <v>0.183</v>
      </c>
      <c r="M69" s="12">
        <f>L69/0.0036</f>
        <v>50.833333333333336</v>
      </c>
    </row>
    <row r="70" spans="3:13" x14ac:dyDescent="0.25">
      <c r="K70" s="54" t="s">
        <v>62</v>
      </c>
      <c r="L70" s="54">
        <v>0.113</v>
      </c>
      <c r="M70" s="12">
        <f t="shared" ref="M70:M71" si="2">L70/0.0036</f>
        <v>31.388888888888889</v>
      </c>
    </row>
    <row r="71" spans="3:13" x14ac:dyDescent="0.25">
      <c r="K71" s="54" t="s">
        <v>63</v>
      </c>
      <c r="L71" s="54">
        <v>3.4000000000000002E-2</v>
      </c>
      <c r="M71" s="12">
        <f t="shared" si="2"/>
        <v>9.4444444444444446</v>
      </c>
    </row>
    <row r="93" spans="3:3" x14ac:dyDescent="0.25">
      <c r="C93" s="3" t="s">
        <v>64</v>
      </c>
    </row>
    <row r="100" spans="7:10" x14ac:dyDescent="0.25">
      <c r="I100" s="9"/>
    </row>
    <row r="101" spans="7:10" x14ac:dyDescent="0.25">
      <c r="I101" s="9"/>
    </row>
    <row r="102" spans="7:10" x14ac:dyDescent="0.25">
      <c r="G102" s="20"/>
      <c r="H102" s="21" t="s">
        <v>78</v>
      </c>
      <c r="I102" s="207" t="s">
        <v>46</v>
      </c>
      <c r="J102" s="56"/>
    </row>
    <row r="103" spans="7:10" x14ac:dyDescent="0.25">
      <c r="G103" s="54" t="s">
        <v>3</v>
      </c>
      <c r="H103" s="19">
        <v>4.8</v>
      </c>
      <c r="I103" s="208">
        <v>1.08</v>
      </c>
      <c r="J103" s="56"/>
    </row>
    <row r="104" spans="7:10" x14ac:dyDescent="0.25">
      <c r="G104" s="54" t="s">
        <v>51</v>
      </c>
      <c r="H104" s="19">
        <v>15.5</v>
      </c>
      <c r="I104" s="208">
        <v>1.01</v>
      </c>
      <c r="J104" s="56"/>
    </row>
    <row r="105" spans="7:10" x14ac:dyDescent="0.25">
      <c r="G105" s="54" t="s">
        <v>52</v>
      </c>
      <c r="H105" s="19">
        <v>11.5</v>
      </c>
      <c r="I105" s="208">
        <v>1.01</v>
      </c>
      <c r="J105" s="56"/>
    </row>
    <row r="106" spans="7:10" x14ac:dyDescent="0.25">
      <c r="G106" s="54" t="s">
        <v>4</v>
      </c>
      <c r="H106" s="19">
        <v>63.7</v>
      </c>
      <c r="I106" s="208">
        <v>0.89</v>
      </c>
      <c r="J106" s="56"/>
    </row>
    <row r="107" spans="7:10" x14ac:dyDescent="0.25">
      <c r="J107" s="56"/>
    </row>
    <row r="124" spans="3:3" x14ac:dyDescent="0.25">
      <c r="C124" s="3"/>
    </row>
    <row r="145" spans="3:3" x14ac:dyDescent="0.25">
      <c r="C145" s="3"/>
    </row>
  </sheetData>
  <sortState xmlns:xlrd2="http://schemas.microsoft.com/office/spreadsheetml/2017/richdata2" ref="C34:M42">
    <sortCondition ref="C34"/>
  </sortState>
  <phoneticPr fontId="13" type="noConversion"/>
  <hyperlinks>
    <hyperlink ref="K49" r:id="rId1" xr:uid="{3E09CC6E-72BC-48D7-9F26-2F1F0CA1975C}"/>
    <hyperlink ref="K50" r:id="rId2" xr:uid="{13FCFCB8-0FC2-4E74-BA95-DCAF6765D06F}"/>
  </hyperlinks>
  <pageMargins left="0.7" right="0.7" top="0.75" bottom="0.75" header="0.3" footer="0.3"/>
  <pageSetup orientation="portrait" horizontalDpi="300" verticalDpi="3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NOC_ClusterName xmlns="2f6a910d-138e-42c1-8e8a-320c1b7cf3f7">KIP Duurzaamheid Geothermie</TNOC_ClusterName>
    <TNOC_ClusterId xmlns="2f6a910d-138e-42c1-8e8a-320c1b7cf3f7">060.43834</TNOC_ClusterId>
    <n2a7a23bcc2241cb9261f9a914c7c1bb xmlns="ce327ad9-cebc-46f8-8b5d-da23f59a9a62">
      <Terms xmlns="http://schemas.microsoft.com/office/infopath/2007/PartnerControls">
        <TermInfo xmlns="http://schemas.microsoft.com/office/infopath/2007/PartnerControls">
          <TermName xmlns="http://schemas.microsoft.com/office/infopath/2007/PartnerControls">TNO Internal</TermName>
          <TermId xmlns="http://schemas.microsoft.com/office/infopath/2007/PartnerControls">1a23c89f-ef54-4907-86fd-8242403ff722</TermId>
        </TermInfo>
      </Terms>
    </n2a7a23bcc2241cb9261f9a914c7c1bb>
    <bac4ab11065f4f6c809c820c57e320e5 xmlns="ce327ad9-cebc-46f8-8b5d-da23f59a9a62">
      <Terms xmlns="http://schemas.microsoft.com/office/infopath/2007/PartnerControls"/>
    </bac4ab11065f4f6c809c820c57e320e5>
    <TaxCatchAll xmlns="ce327ad9-cebc-46f8-8b5d-da23f59a9a62">
      <Value>5</Value>
      <Value>1</Value>
    </TaxCatchAll>
    <lca20d149a844688b6abf34073d5c21d xmlns="ce327ad9-cebc-46f8-8b5d-da23f59a9a62">
      <Terms xmlns="http://schemas.microsoft.com/office/infopath/2007/PartnerControls"/>
    </lca20d149a844688b6abf34073d5c21d>
    <cf581d8792c646118aad2c2c4ecdfa8c xmlns="ce327ad9-cebc-46f8-8b5d-da23f59a9a62">
      <Terms xmlns="http://schemas.microsoft.com/office/infopath/2007/PartnerControls"/>
    </cf581d8792c646118aad2c2c4ecdfa8c>
    <h15fbb78f4cb41d290e72f301ea2865f xmlns="ce327ad9-cebc-46f8-8b5d-da23f59a9a62">
      <Terms xmlns="http://schemas.microsoft.com/office/infopath/2007/PartnerControls">
        <TermInfo xmlns="http://schemas.microsoft.com/office/infopath/2007/PartnerControls">
          <TermName xmlns="http://schemas.microsoft.com/office/infopath/2007/PartnerControls">Project</TermName>
          <TermId xmlns="http://schemas.microsoft.com/office/infopath/2007/PartnerControls">fa11c4c9-105f-402c-bb40-9a56b4989397</TermId>
        </TermInfo>
      </Terms>
    </h15fbb78f4cb41d290e72f301ea2865f>
    <_dlc_DocId xmlns="ce327ad9-cebc-46f8-8b5d-da23f59a9a62">75YMFQMZD2DV-509352223-2113</_dlc_DocId>
    <_dlc_DocIdUrl xmlns="ce327ad9-cebc-46f8-8b5d-da23f59a9a62">
      <Url>https://365tno.sharepoint.com/teams/P060.43190/_layouts/15/DocIdRedir.aspx?ID=75YMFQMZD2DV-509352223-2113</Url>
      <Description>75YMFQMZD2DV-509352223-2113</Description>
    </_dlc_DocIdUrl>
    <SharedWithUsers xmlns="ce327ad9-cebc-46f8-8b5d-da23f59a9a62">
      <UserInfo>
        <DisplayName/>
        <AccountId xsi:nil="true"/>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Team Document" ma:contentTypeID="0x010100A35317DCC28344A7B82488658A034A5C0100B340F236F8B8714386897CC5A25EAE1C" ma:contentTypeVersion="13" ma:contentTypeDescription=" " ma:contentTypeScope="" ma:versionID="83b876e08bab39caa947fd3e75bfb0ce">
  <xsd:schema xmlns:xsd="http://www.w3.org/2001/XMLSchema" xmlns:xs="http://www.w3.org/2001/XMLSchema" xmlns:p="http://schemas.microsoft.com/office/2006/metadata/properties" xmlns:ns2="ce327ad9-cebc-46f8-8b5d-da23f59a9a62" xmlns:ns3="2f6a910d-138e-42c1-8e8a-320c1b7cf3f7" xmlns:ns5="93d00026-2746-4764-b6d7-faa23ca69017" targetNamespace="http://schemas.microsoft.com/office/2006/metadata/properties" ma:root="true" ma:fieldsID="5eab139ec64acac47bff72b9aaed96b5" ns2:_="" ns3:_="" ns5:_="">
    <xsd:import namespace="ce327ad9-cebc-46f8-8b5d-da23f59a9a62"/>
    <xsd:import namespace="2f6a910d-138e-42c1-8e8a-320c1b7cf3f7"/>
    <xsd:import namespace="93d00026-2746-4764-b6d7-faa23ca69017"/>
    <xsd:element name="properties">
      <xsd:complexType>
        <xsd:sequence>
          <xsd:element name="documentManagement">
            <xsd:complexType>
              <xsd:all>
                <xsd:element ref="ns2:_dlc_DocId" minOccurs="0"/>
                <xsd:element ref="ns2:_dlc_DocIdUrl" minOccurs="0"/>
                <xsd:element ref="ns2:_dlc_DocIdPersistId" minOccurs="0"/>
                <xsd:element ref="ns3:TNOC_ClusterName" minOccurs="0"/>
                <xsd:element ref="ns3:TNOC_ClusterId" minOccurs="0"/>
                <xsd:element ref="ns2:h15fbb78f4cb41d290e72f301ea2865f" minOccurs="0"/>
                <xsd:element ref="ns2:TaxCatchAll" minOccurs="0"/>
                <xsd:element ref="ns2:TaxCatchAllLabel" minOccurs="0"/>
                <xsd:element ref="ns2:n2a7a23bcc2241cb9261f9a914c7c1bb" minOccurs="0"/>
                <xsd:element ref="ns2:lca20d149a844688b6abf34073d5c21d" minOccurs="0"/>
                <xsd:element ref="ns2:cf581d8792c646118aad2c2c4ecdfa8c" minOccurs="0"/>
                <xsd:element ref="ns2:bac4ab11065f4f6c809c820c57e320e5" minOccurs="0"/>
                <xsd:element ref="ns5:MediaServiceMetadata" minOccurs="0"/>
                <xsd:element ref="ns5:MediaServiceFastMetadata" minOccurs="0"/>
                <xsd:element ref="ns5:MediaServiceDateTaken" minOccurs="0"/>
                <xsd:element ref="ns5:MediaServiceAutoTags" minOccurs="0"/>
                <xsd:element ref="ns5:MediaServiceGenerationTime" minOccurs="0"/>
                <xsd:element ref="ns5:MediaServiceEventHashCode" minOccurs="0"/>
                <xsd:element ref="ns5:MediaServiceAutoKeyPoints" minOccurs="0"/>
                <xsd:element ref="ns5:MediaServiceKeyPoints" minOccurs="0"/>
                <xsd:element ref="ns5:MediaServiceOCR" minOccurs="0"/>
                <xsd:element ref="ns2:SharedWithUsers" minOccurs="0"/>
                <xsd:element ref="ns2:SharedWithDetails" minOccurs="0"/>
                <xsd:element ref="ns5: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e327ad9-cebc-46f8-8b5d-da23f59a9a62"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h15fbb78f4cb41d290e72f301ea2865f" ma:index="13" nillable="true" ma:taxonomy="true" ma:internalName="h15fbb78f4cb41d290e72f301ea2865f" ma:taxonomyFieldName="TNOC_ClusterType" ma:displayName="Cluster type" ma:default="1;#Project|fa11c4c9-105f-402c-bb40-9a56b4989397" ma:fieldId="{115fbb78-f4cb-41d2-90e7-2f301ea2865f}" ma:sspId="7378aa68-586f-4892-bb77-0985b40f41a6" ma:termSetId="e7feef8e-5ede-44cd-b7d5-7ed7dacef0b4"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e8ba1804-a3ec-486a-85eb-35035827b3f7}" ma:internalName="TaxCatchAll" ma:showField="CatchAllData" ma:web="ce327ad9-cebc-46f8-8b5d-da23f59a9a62">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e8ba1804-a3ec-486a-85eb-35035827b3f7}" ma:internalName="TaxCatchAllLabel" ma:readOnly="true" ma:showField="CatchAllDataLabel" ma:web="ce327ad9-cebc-46f8-8b5d-da23f59a9a62">
      <xsd:complexType>
        <xsd:complexContent>
          <xsd:extension base="dms:MultiChoiceLookup">
            <xsd:sequence>
              <xsd:element name="Value" type="dms:Lookup" maxOccurs="unbounded" minOccurs="0" nillable="true"/>
            </xsd:sequence>
          </xsd:extension>
        </xsd:complexContent>
      </xsd:complexType>
    </xsd:element>
    <xsd:element name="n2a7a23bcc2241cb9261f9a914c7c1bb" ma:index="17" nillable="true" ma:taxonomy="true" ma:internalName="n2a7a23bcc2241cb9261f9a914c7c1bb" ma:taxonomyFieldName="TNOC_DocumentClassification" ma:displayName="Document classification" ma:default="5;#TNO Internal|1a23c89f-ef54-4907-86fd-8242403ff722" ma:fieldId="{72a7a23b-cc22-41cb-9261-f9a914c7c1bb}" ma:sspId="7378aa68-586f-4892-bb77-0985b40f41a6" ma:termSetId="ff8f31fd-7572-41dc-9fe4-bd4c6d280f39" ma:anchorId="00000000-0000-0000-0000-000000000000" ma:open="false" ma:isKeyword="false">
      <xsd:complexType>
        <xsd:sequence>
          <xsd:element ref="pc:Terms" minOccurs="0" maxOccurs="1"/>
        </xsd:sequence>
      </xsd:complexType>
    </xsd:element>
    <xsd:element name="lca20d149a844688b6abf34073d5c21d" ma:index="19" nillable="true" ma:taxonomy="true" ma:internalName="lca20d149a844688b6abf34073d5c21d" ma:taxonomyFieldName="TNOC_DocumentType" ma:displayName="Document type" ma:fieldId="{5ca20d14-9a84-4688-b6ab-f34073d5c21d}" ma:sspId="7378aa68-586f-4892-bb77-0985b40f41a6" ma:termSetId="e8a13a9e-c4f3-4184-b8d9-8210abad4948" ma:anchorId="00000000-0000-0000-0000-000000000000" ma:open="false" ma:isKeyword="false">
      <xsd:complexType>
        <xsd:sequence>
          <xsd:element ref="pc:Terms" minOccurs="0" maxOccurs="1"/>
        </xsd:sequence>
      </xsd:complexType>
    </xsd:element>
    <xsd:element name="cf581d8792c646118aad2c2c4ecdfa8c" ma:index="22" nillable="true" ma:taxonomy="true" ma:internalName="cf581d8792c646118aad2c2c4ecdfa8c" ma:taxonomyFieldName="TNOC_DocumentSetType" ma:displayName="Document set type" ma:readOnly="false" ma:fieldId="{cf581d87-92c6-4611-8aad-2c2c4ecdfa8c}" ma:sspId="7378aa68-586f-4892-bb77-0985b40f41a6" ma:termSetId="a8d4306b-62bf-468f-9587-ff078c864327" ma:anchorId="00000000-0000-0000-0000-000000000000" ma:open="false" ma:isKeyword="false">
      <xsd:complexType>
        <xsd:sequence>
          <xsd:element ref="pc:Terms" minOccurs="0" maxOccurs="1"/>
        </xsd:sequence>
      </xsd:complexType>
    </xsd:element>
    <xsd:element name="bac4ab11065f4f6c809c820c57e320e5" ma:index="24" nillable="true" ma:taxonomy="true" ma:internalName="bac4ab11065f4f6c809c820c57e320e5" ma:taxonomyFieldName="TNOC_DocumentCategory" ma:displayName="Document category" ma:fieldId="{bac4ab11-065f-4f6c-809c-820c57e320e5}" ma:sspId="7378aa68-586f-4892-bb77-0985b40f41a6" ma:termSetId="94d42b6a-4155-4fa6-95e9-087bc306ceb3" ma:anchorId="00000000-0000-0000-0000-000000000000" ma:open="false" ma:isKeyword="false">
      <xsd:complexType>
        <xsd:sequence>
          <xsd:element ref="pc:Terms" minOccurs="0" maxOccurs="1"/>
        </xsd:sequence>
      </xsd:complexType>
    </xsd:element>
    <xsd:element name="SharedWithUsers" ma:index="3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f6a910d-138e-42c1-8e8a-320c1b7cf3f7" elementFormDefault="qualified">
    <xsd:import namespace="http://schemas.microsoft.com/office/2006/documentManagement/types"/>
    <xsd:import namespace="http://schemas.microsoft.com/office/infopath/2007/PartnerControls"/>
    <xsd:element name="TNOC_ClusterName" ma:index="11" nillable="true" ma:displayName="Cluster name" ma:default="WarmingUP T4. Geothermie" ma:internalName="TNOC_ClusterName">
      <xsd:simpleType>
        <xsd:restriction base="dms:Text">
          <xsd:maxLength value="255"/>
        </xsd:restriction>
      </xsd:simpleType>
    </xsd:element>
    <xsd:element name="TNOC_ClusterId" ma:index="12" nillable="true" ma:displayName="Cluster ID" ma:default="060.43190" ma:internalName="TNOC_Cluster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3d00026-2746-4764-b6d7-faa23ca69017" elementFormDefault="qualified">
    <xsd:import namespace="http://schemas.microsoft.com/office/2006/documentManagement/types"/>
    <xsd:import namespace="http://schemas.microsoft.com/office/infopath/2007/PartnerControls"/>
    <xsd:element name="MediaServiceMetadata" ma:index="26" nillable="true" ma:displayName="MediaServiceMetadata" ma:hidden="true" ma:internalName="MediaServiceMetadata" ma:readOnly="true">
      <xsd:simpleType>
        <xsd:restriction base="dms:Note"/>
      </xsd:simpleType>
    </xsd:element>
    <xsd:element name="MediaServiceFastMetadata" ma:index="27" nillable="true" ma:displayName="MediaServiceFastMetadata" ma:hidden="true" ma:internalName="MediaServiceFastMetadata" ma:readOnly="true">
      <xsd:simpleType>
        <xsd:restriction base="dms:Note"/>
      </xsd:simpleType>
    </xsd:element>
    <xsd:element name="MediaServiceDateTaken" ma:index="28" nillable="true" ma:displayName="MediaServiceDateTaken" ma:hidden="true" ma:internalName="MediaServiceDateTaken" ma:readOnly="true">
      <xsd:simpleType>
        <xsd:restriction base="dms:Text"/>
      </xsd:simpleType>
    </xsd:element>
    <xsd:element name="MediaServiceAutoTags" ma:index="29" nillable="true" ma:displayName="Tags" ma:internalName="MediaServiceAutoTags" ma:readOnly="true">
      <xsd:simpleType>
        <xsd:restriction base="dms:Text"/>
      </xsd:simpleType>
    </xsd:element>
    <xsd:element name="MediaServiceGenerationTime" ma:index="30" nillable="true" ma:displayName="MediaServiceGenerationTime" ma:hidden="true" ma:internalName="MediaServiceGenerationTime" ma:readOnly="true">
      <xsd:simpleType>
        <xsd:restriction base="dms:Text"/>
      </xsd:simpleType>
    </xsd:element>
    <xsd:element name="MediaServiceEventHashCode" ma:index="31" nillable="true" ma:displayName="MediaServiceEventHashCode" ma:hidden="true" ma:internalName="MediaServiceEventHashCode" ma:readOnly="true">
      <xsd:simpleType>
        <xsd:restriction base="dms:Text"/>
      </xsd:simpleType>
    </xsd:element>
    <xsd:element name="MediaServiceAutoKeyPoints" ma:index="32" nillable="true" ma:displayName="MediaServiceAutoKeyPoints" ma:hidden="true" ma:internalName="MediaServiceAutoKeyPoints" ma:readOnly="true">
      <xsd:simpleType>
        <xsd:restriction base="dms:Note"/>
      </xsd:simpleType>
    </xsd:element>
    <xsd:element name="MediaServiceKeyPoints" ma:index="33" nillable="true" ma:displayName="KeyPoints" ma:internalName="MediaServiceKeyPoints" ma:readOnly="true">
      <xsd:simpleType>
        <xsd:restriction base="dms:Note">
          <xsd:maxLength value="255"/>
        </xsd:restriction>
      </xsd:simpleType>
    </xsd:element>
    <xsd:element name="MediaServiceOCR" ma:index="34" nillable="true" ma:displayName="Extracted Text" ma:internalName="MediaServiceOCR" ma:readOnly="true">
      <xsd:simpleType>
        <xsd:restriction base="dms:Note">
          <xsd:maxLength value="255"/>
        </xsd:restriction>
      </xsd:simpleType>
    </xsd:element>
    <xsd:element name="MediaServiceLocation" ma:index="3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1"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9CF2503-9AC6-4249-8264-DCC8BA31CFD4}">
  <ds:schemaRefs>
    <ds:schemaRef ds:uri="http://purl.org/dc/terms/"/>
    <ds:schemaRef ds:uri="http://www.w3.org/XML/1998/namespace"/>
    <ds:schemaRef ds:uri="http://purl.org/dc/elements/1.1/"/>
    <ds:schemaRef ds:uri="http://schemas.microsoft.com/office/infopath/2007/PartnerControls"/>
    <ds:schemaRef ds:uri="ce327ad9-cebc-46f8-8b5d-da23f59a9a62"/>
    <ds:schemaRef ds:uri="http://schemas.microsoft.com/office/2006/documentManagement/types"/>
    <ds:schemaRef ds:uri="http://purl.org/dc/dcmitype/"/>
    <ds:schemaRef ds:uri="2f6a910d-138e-42c1-8e8a-320c1b7cf3f7"/>
    <ds:schemaRef ds:uri="http://schemas.openxmlformats.org/package/2006/metadata/core-properties"/>
    <ds:schemaRef ds:uri="93d00026-2746-4764-b6d7-faa23ca69017"/>
    <ds:schemaRef ds:uri="http://schemas.microsoft.com/office/2006/metadata/properties"/>
  </ds:schemaRefs>
</ds:datastoreItem>
</file>

<file path=customXml/itemProps2.xml><?xml version="1.0" encoding="utf-8"?>
<ds:datastoreItem xmlns:ds="http://schemas.openxmlformats.org/officeDocument/2006/customXml" ds:itemID="{8F2B1A23-F936-445E-8104-B17198FDE3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e327ad9-cebc-46f8-8b5d-da23f59a9a62"/>
    <ds:schemaRef ds:uri="2f6a910d-138e-42c1-8e8a-320c1b7cf3f7"/>
    <ds:schemaRef ds:uri="93d00026-2746-4764-b6d7-faa23ca690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92D29C-647C-418D-A08A-D561F3831EC4}">
  <ds:schemaRefs>
    <ds:schemaRef ds:uri="http://schemas.microsoft.com/sharepoint/events"/>
  </ds:schemaRefs>
</ds:datastoreItem>
</file>

<file path=customXml/itemProps4.xml><?xml version="1.0" encoding="utf-8"?>
<ds:datastoreItem xmlns:ds="http://schemas.openxmlformats.org/officeDocument/2006/customXml" ds:itemID="{53CCE401-3158-4968-9FEA-A8654F24C2F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30</vt:i4>
      </vt:variant>
    </vt:vector>
  </HeadingPairs>
  <TitlesOfParts>
    <vt:vector size="33" baseType="lpstr">
      <vt:lpstr>Disclaimer &amp; uitleg model</vt:lpstr>
      <vt:lpstr>CO2-berekening </vt:lpstr>
      <vt:lpstr>Parameters &amp; aannames</vt:lpstr>
      <vt:lpstr>aandeel_bron1</vt:lpstr>
      <vt:lpstr>aandeel_bron2</vt:lpstr>
      <vt:lpstr>aandeel_bron3</vt:lpstr>
      <vt:lpstr>aandeel_formatiegas</vt:lpstr>
      <vt:lpstr>aandeel_geowater</vt:lpstr>
      <vt:lpstr>aandeel_piek1</vt:lpstr>
      <vt:lpstr>aandeel_piek2</vt:lpstr>
      <vt:lpstr>aandeel_verlies</vt:lpstr>
      <vt:lpstr>aandeel_WP</vt:lpstr>
      <vt:lpstr>bijvangst</vt:lpstr>
      <vt:lpstr>COP_GT</vt:lpstr>
      <vt:lpstr>COP_WP</vt:lpstr>
      <vt:lpstr>Cpwater</vt:lpstr>
      <vt:lpstr>debiet</vt:lpstr>
      <vt:lpstr>draaiuren</vt:lpstr>
      <vt:lpstr>emissiefactor_aardgas</vt:lpstr>
      <vt:lpstr>emissiefactor_elektriciteit_2015</vt:lpstr>
      <vt:lpstr>emissiefactor_elektriciteit_2020</vt:lpstr>
      <vt:lpstr>emissiefactor_elektriciteit_2025</vt:lpstr>
      <vt:lpstr>emissiefactor_elektriciteit_2030</vt:lpstr>
      <vt:lpstr>emissiefactor_elektriciteit_20XX</vt:lpstr>
      <vt:lpstr>energie_aardgas</vt:lpstr>
      <vt:lpstr>energy_aardgas</vt:lpstr>
      <vt:lpstr>GT_elec</vt:lpstr>
      <vt:lpstr>GT_prod_gas</vt:lpstr>
      <vt:lpstr>GT_prod_water</vt:lpstr>
      <vt:lpstr>GT_prod_wp</vt:lpstr>
      <vt:lpstr>mark</vt:lpstr>
      <vt:lpstr>rendement_gasketel</vt:lpstr>
      <vt:lpstr>Rhowater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 Dinkelman</dc:creator>
  <cp:keywords/>
  <dc:description/>
  <cp:lastModifiedBy>Dinkelman, D. (Dorien)</cp:lastModifiedBy>
  <cp:revision/>
  <cp:lastPrinted>2021-09-07T12:07:16Z</cp:lastPrinted>
  <dcterms:created xsi:type="dcterms:W3CDTF">2020-10-23T07:55:38Z</dcterms:created>
  <dcterms:modified xsi:type="dcterms:W3CDTF">2021-12-06T13:50:40Z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0x010100A35317DCC28344A7B82488658A034A5C0100B340F236F8B8714386897CC5A25EAE1C</vt:lpwstr>
  </property>
  <property fmtid="{D5CDD505-2E9C-101B-9397-08002B2CF9AE}" pid="3" name="TNOC_DocumentClassification">
    <vt:lpwstr>5;#TNO Internal|1a23c89f-ef54-4907-86fd-8242403ff722</vt:lpwstr>
  </property>
  <property fmtid="{D5CDD505-2E9C-101B-9397-08002B2CF9AE}" pid="4" name="TNOC_DocumentType">
    <vt:lpwstr/>
  </property>
  <property fmtid="{D5CDD505-2E9C-101B-9397-08002B2CF9AE}" pid="5" name="TNOC_DocumentCategory">
    <vt:lpwstr/>
  </property>
  <property fmtid="{D5CDD505-2E9C-101B-9397-08002B2CF9AE}" pid="6" name="TNOC_ClusterType">
    <vt:lpwstr>1;#Project|fa11c4c9-105f-402c-bb40-9a56b4989397</vt:lpwstr>
  </property>
  <property fmtid="{D5CDD505-2E9C-101B-9397-08002B2CF9AE}" pid="7" name="TNOC_DocumentSetType">
    <vt:lpwstr/>
  </property>
  <property fmtid="{D5CDD505-2E9C-101B-9397-08002B2CF9AE}" pid="8" name="_dlc_DocIdItemGuid">
    <vt:lpwstr>e0ab5386-8054-4747-9337-b32f8c42d018</vt:lpwstr>
  </property>
  <property fmtid="{D5CDD505-2E9C-101B-9397-08002B2CF9AE}" pid="9" name="Order">
    <vt:r8>36100</vt:r8>
  </property>
  <property fmtid="{D5CDD505-2E9C-101B-9397-08002B2CF9AE}" pid="10" name="ComplianceAssetId">
    <vt:lpwstr/>
  </property>
  <property fmtid="{D5CDD505-2E9C-101B-9397-08002B2CF9AE}" pid="11" name="_ExtendedDescription">
    <vt:lpwstr/>
  </property>
</Properties>
</file>